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16" windowWidth="9420" windowHeight="4245" firstSheet="2" activeTab="4"/>
  </bookViews>
  <sheets>
    <sheet name="BS" sheetId="1" r:id="rId1"/>
    <sheet name="PL" sheetId="2" r:id="rId2"/>
    <sheet name="Cashflow" sheetId="3" r:id="rId3"/>
    <sheet name="Statement on Equity Changes" sheetId="4" r:id="rId4"/>
    <sheet name="Recognised Gains &amp; Losses" sheetId="5" r:id="rId5"/>
  </sheets>
  <externalReferences>
    <externalReference r:id="rId8"/>
    <externalReference r:id="rId9"/>
  </externalReferences>
  <definedNames>
    <definedName name="_xlnm.Print_Area" localSheetId="0">'BS'!$A$1:$J$62</definedName>
    <definedName name="_xlnm.Print_Area" localSheetId="2">'Cashflow'!$B$2:$H$56</definedName>
    <definedName name="_xlnm.Print_Area" localSheetId="1">'PL'!$C$2:$M$54</definedName>
    <definedName name="_xlnm.Print_Area" localSheetId="4">'Recognised Gains &amp; Losses'!$B$2:$I$27</definedName>
    <definedName name="_xlnm.Print_Area" localSheetId="3">'Statement on Equity Changes'!$B$1:$I$39</definedName>
  </definedNames>
  <calcPr fullCalcOnLoad="1"/>
</workbook>
</file>

<file path=xl/sharedStrings.xml><?xml version="1.0" encoding="utf-8"?>
<sst xmlns="http://schemas.openxmlformats.org/spreadsheetml/2006/main" count="206" uniqueCount="136">
  <si>
    <t>Share Premium</t>
  </si>
  <si>
    <t>Current Assets</t>
  </si>
  <si>
    <t>Inventories</t>
  </si>
  <si>
    <t xml:space="preserve"> </t>
  </si>
  <si>
    <t>RM'000</t>
  </si>
  <si>
    <t>PRECEDING</t>
  </si>
  <si>
    <t>QUARTER</t>
  </si>
  <si>
    <t xml:space="preserve">FINANCIAL </t>
  </si>
  <si>
    <t>YEAR END</t>
  </si>
  <si>
    <t>RM' 000</t>
  </si>
  <si>
    <t>Other debtors, deposit &amp; prepayment</t>
  </si>
  <si>
    <t>Cash in Bank &amp; Fixed Deposits</t>
  </si>
  <si>
    <t>Curent Liabilities</t>
  </si>
  <si>
    <t>Hire Purchase Creditors</t>
  </si>
  <si>
    <t xml:space="preserve">  </t>
  </si>
  <si>
    <t>AS AT END</t>
  </si>
  <si>
    <t xml:space="preserve">OF CURRENT </t>
  </si>
  <si>
    <t>AS AT</t>
  </si>
  <si>
    <t>Property, plant and equipment</t>
  </si>
  <si>
    <t>Trade Payables</t>
  </si>
  <si>
    <t>Other Payables and Accruals</t>
  </si>
  <si>
    <t>EPS</t>
  </si>
  <si>
    <t>- Basic (sen)</t>
  </si>
  <si>
    <t>- Diluted (sen)</t>
  </si>
  <si>
    <t>1ST QTR</t>
  </si>
  <si>
    <t>RM</t>
  </si>
  <si>
    <t>NET PROFIT/(LOSS) BEFORE TAX</t>
  </si>
  <si>
    <t>ADJUSTMENT FOR NON CASH MOVEMENTS</t>
  </si>
  <si>
    <t>Depreciation</t>
  </si>
  <si>
    <t>(Profit)/Loss on Disposal of Fixed Assets</t>
  </si>
  <si>
    <t>Goodwill written off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</si>
  <si>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</si>
  <si>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</si>
  <si>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</si>
  <si>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</si>
  <si>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</si>
  <si>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</si>
  <si>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Purchases of Fixed Assets</t>
  </si>
  <si>
    <t>Disposal of Fixed Assets/Investment</t>
  </si>
  <si>
    <t>Translation difference (foreign subsidiary)</t>
  </si>
  <si>
    <t>FINANCING ACTIVITIES</t>
  </si>
  <si>
    <t>Issue of Share</t>
  </si>
  <si>
    <t>Bank Borrowings</t>
  </si>
  <si>
    <t>NET CHANGE IN CASH &amp; CASH EQUIVALENTS</t>
  </si>
  <si>
    <t>CASH &amp; CASH EQUIVALENTS AT BEGINNING OF YEAR</t>
  </si>
  <si>
    <t>Intangible Assets</t>
  </si>
  <si>
    <t>Trade Debtors</t>
  </si>
  <si>
    <t>Net Current Assets / (Liabilities)</t>
  </si>
  <si>
    <t>Share Capital</t>
  </si>
  <si>
    <t>Reserves</t>
  </si>
  <si>
    <t>Shareholders funds</t>
  </si>
  <si>
    <t>Long term liabilities</t>
  </si>
  <si>
    <t>Hire purchase payables</t>
  </si>
  <si>
    <t>Minority interest</t>
  </si>
  <si>
    <t>Net tangible assets per share (RM)</t>
  </si>
  <si>
    <t>31/03/03</t>
  </si>
  <si>
    <t>CORRESPONDING</t>
  </si>
  <si>
    <t>YEAR TO DATE</t>
  </si>
  <si>
    <t>ENDED</t>
  </si>
  <si>
    <t>CURRENT</t>
  </si>
  <si>
    <t>OPERATING EXPENSES</t>
  </si>
  <si>
    <t>OTHER OPERATING INCOME</t>
  </si>
  <si>
    <t>FINANCE COST</t>
  </si>
  <si>
    <t>PROFIT/(LOSS) FROM OPERATIONS</t>
  </si>
  <si>
    <t>PROFIT/(LOSS) BEFORE TAX</t>
  </si>
  <si>
    <t>TAXATION</t>
  </si>
  <si>
    <t>PROFIT/(LOSS) AFTER TAX</t>
  </si>
  <si>
    <t>NET PROFIT/(LOSS) FOR THE PERIOD</t>
  </si>
  <si>
    <t>MINORITY INTEREST</t>
  </si>
  <si>
    <t>Revaluation Reserve</t>
  </si>
  <si>
    <t>Translation Reserve</t>
  </si>
  <si>
    <t>Retained Profit</t>
  </si>
  <si>
    <t>Tax paid</t>
  </si>
  <si>
    <t>CASH &amp; CASH EQUIVALENTS AT END OF 1ST QUARTER</t>
  </si>
  <si>
    <r>
      <t xml:space="preserve">LATEXX PARTNERS BERHAD </t>
    </r>
    <r>
      <rPr>
        <i/>
        <sz val="14"/>
        <rFont val="Arial"/>
        <family val="2"/>
      </rPr>
      <t>(86100-V)</t>
    </r>
  </si>
  <si>
    <r>
      <t xml:space="preserve">LATEXX PARTNERS BERHAD </t>
    </r>
    <r>
      <rPr>
        <b/>
        <i/>
        <sz val="12"/>
        <rFont val="Arial"/>
        <family val="2"/>
      </rPr>
      <t>(86100-V)</t>
    </r>
  </si>
  <si>
    <t>REVENUE</t>
  </si>
  <si>
    <t>LATEXX PARTNERS BERHAD</t>
  </si>
  <si>
    <t>31/12/04</t>
  </si>
  <si>
    <t>Deferred tax liabilities</t>
  </si>
  <si>
    <t>31/03/05</t>
  </si>
  <si>
    <t>31/03/04</t>
  </si>
  <si>
    <t>EXCEPTIONAL ITEMS</t>
  </si>
  <si>
    <t>INVESTING RESULT</t>
  </si>
  <si>
    <t>Profit warranty received</t>
  </si>
  <si>
    <t>31/03/2004</t>
  </si>
  <si>
    <t>FOR THE THREE MONTHS ENDED 31 MARCH 2005</t>
  </si>
  <si>
    <t>For the three months ended 31 March 2005</t>
  </si>
  <si>
    <t>Revaluation</t>
  </si>
  <si>
    <t>Translation</t>
  </si>
  <si>
    <t xml:space="preserve">Share </t>
  </si>
  <si>
    <t>Retained</t>
  </si>
  <si>
    <t>Total</t>
  </si>
  <si>
    <t>Capital</t>
  </si>
  <si>
    <t>Reserve</t>
  </si>
  <si>
    <t>Premium</t>
  </si>
  <si>
    <t>Profits</t>
  </si>
  <si>
    <t>Gain on translation of</t>
  </si>
  <si>
    <t xml:space="preserve">   foreign subsidiary</t>
  </si>
  <si>
    <t>Prior year adjustment</t>
  </si>
  <si>
    <t xml:space="preserve"> - deferred tax liability</t>
  </si>
  <si>
    <t>Bal. as at 1 January 2005</t>
  </si>
  <si>
    <t>Recognised Gains and Losses</t>
  </si>
  <si>
    <t>Cumulative</t>
  </si>
  <si>
    <t>Surplus/(Deficit) on revaluation of properties</t>
  </si>
  <si>
    <t>Surplus/(Deficit) on revaluation of investments</t>
  </si>
  <si>
    <t>Exchange differences on translation of the</t>
  </si>
  <si>
    <t xml:space="preserve">    financial statements of foreign entities</t>
  </si>
  <si>
    <t>Net gains/(losses) not recognised in the</t>
  </si>
  <si>
    <t xml:space="preserve">    income statements</t>
  </si>
  <si>
    <t>Total recognised gains/(losses) for the</t>
  </si>
  <si>
    <t>Bal. as at 31 December 2003</t>
  </si>
  <si>
    <t>For the year ended 31 March 2005</t>
  </si>
  <si>
    <t>Net Profit/(Loss) for the three months period</t>
  </si>
  <si>
    <t xml:space="preserve">    3 months period</t>
  </si>
  <si>
    <t>Bal. as at 31 March 2005</t>
  </si>
  <si>
    <t>(The Condensed Consolidated Balance Sheet should be read in conjunction with the Annual Financial Report for the year ended 31st December 2004)</t>
  </si>
  <si>
    <t>Reversal of translation reserve arising</t>
  </si>
  <si>
    <t xml:space="preserve">   from discontinued consolidation of a </t>
  </si>
  <si>
    <t xml:space="preserve">   subsidiary</t>
  </si>
  <si>
    <t>Gain on translation of foreign subsidiaries</t>
  </si>
  <si>
    <t>(The condensed Consolidated Income Statements should be read in conjunction with the Annual Financial Report for the year ended 31 December 2004)</t>
  </si>
  <si>
    <t>AS AT END OF</t>
  </si>
  <si>
    <t>CURRENT YEAR</t>
  </si>
  <si>
    <t>UNAUDITED CONDENSED CONSOLIDATED INCOME STATEMENT</t>
  </si>
  <si>
    <t>UNAUDITED CONDENSED CONSOLIDATED BALANCE SHEET AS AT 31.03.05</t>
  </si>
  <si>
    <t xml:space="preserve">UNAUDITED CONDENSED CONSOLIDATED CASH FLOW STATEMENT </t>
  </si>
  <si>
    <t>Unaudited Condensed Consolidated Statement of Changes in Equity</t>
  </si>
  <si>
    <t>(The Condensed Consolidated Statement of Changes in Equity should be read in conjunction with the Annual Financial Report for the year ended 31 December 2004)</t>
  </si>
  <si>
    <t>Unaudited Condensed Consolidated Statement of</t>
  </si>
  <si>
    <t>Revaluation reserve realised</t>
  </si>
  <si>
    <t>Net Loss for the year</t>
  </si>
  <si>
    <t>Balance as at 31 December 2004</t>
  </si>
  <si>
    <t>Issued</t>
  </si>
  <si>
    <t>Bal. restated as at 31 December 2003</t>
  </si>
  <si>
    <t>Net profit for the 3 months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</si>
</sst>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d/mmm"/>
    <numFmt numFmtId="182" formatCode="_(* #,##0.0000_);_(* \(#,##0.0000\);_(* &quot;-&quot;??_);_(@_)"/>
    <numFmt numFmtId="183" formatCode="_(* #,##0.000000_);_(* \(#,##0.000000\);_(* &quot;-&quot;??_);_(@_)"/>
    <numFmt numFmtId="184" formatCode="#,##0.0000_);\(#,##0.0000\)"/>
    <numFmt numFmtId="185" formatCode="_(* #,##0.000_);_(* \(#,##0.000\);_(* &quot;-&quot;??_);_(@_)"/>
    <numFmt numFmtId="186" formatCode="_(* #,##0.0_);_(* \(#,##0.0\);_(* &quot;-&quot;?_);_(@_)"/>
    <numFmt numFmtId="187" formatCode="_(* #,##0.000_);_(* \(#,##0.000\);_(* &quot;-&quot;???_);_(@_)"/>
    <numFmt numFmtId="188" formatCode="0.0000"/>
    <numFmt numFmtId="189" formatCode="0.00000"/>
    <numFmt numFmtId="190" formatCode="0.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Alignment="1">
      <alignment/>
    </xf>
    <xf numFmtId="0" fontId="0" fillId="0" borderId="0" xfId="0" applyBorder="1" applyAlignment="1">
      <alignment/>
    </xf>
    <xf numFmtId="179" fontId="0" fillId="0" borderId="1" xfId="15" applyNumberFormat="1" applyBorder="1" applyAlignment="1">
      <alignment/>
    </xf>
    <xf numFmtId="179" fontId="0" fillId="0" borderId="2" xfId="15" applyNumberFormat="1" applyBorder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Border="1" applyAlignment="1">
      <alignment/>
    </xf>
    <xf numFmtId="179" fontId="0" fillId="0" borderId="3" xfId="15" applyNumberFormat="1" applyBorder="1" applyAlignment="1">
      <alignment/>
    </xf>
    <xf numFmtId="179" fontId="0" fillId="0" borderId="4" xfId="15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15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79" fontId="6" fillId="0" borderId="0" xfId="0" applyNumberFormat="1" applyFont="1" applyAlignment="1">
      <alignment/>
    </xf>
    <xf numFmtId="179" fontId="0" fillId="0" borderId="5" xfId="15" applyNumberFormat="1" applyBorder="1" applyAlignment="1">
      <alignment/>
    </xf>
    <xf numFmtId="179" fontId="0" fillId="0" borderId="6" xfId="15" applyNumberFormat="1" applyBorder="1" applyAlignment="1">
      <alignment/>
    </xf>
    <xf numFmtId="43" fontId="0" fillId="0" borderId="0" xfId="15" applyNumberFormat="1" applyAlignment="1">
      <alignment/>
    </xf>
    <xf numFmtId="0" fontId="8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7" xfId="15" applyNumberFormat="1" applyBorder="1" applyAlignment="1">
      <alignment/>
    </xf>
    <xf numFmtId="179" fontId="0" fillId="0" borderId="7" xfId="15" applyNumberFormat="1" applyFont="1" applyBorder="1" applyAlignment="1">
      <alignment/>
    </xf>
    <xf numFmtId="179" fontId="0" fillId="0" borderId="0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179" fontId="6" fillId="0" borderId="0" xfId="0" applyNumberFormat="1" applyFont="1" applyBorder="1" applyAlignment="1">
      <alignment/>
    </xf>
    <xf numFmtId="179" fontId="0" fillId="0" borderId="8" xfId="15" applyNumberForma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9" fontId="1" fillId="0" borderId="3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43" fontId="1" fillId="0" borderId="0" xfId="0" applyNumberFormat="1" applyFont="1" applyBorder="1" applyAlignment="1">
      <alignment/>
    </xf>
    <xf numFmtId="43" fontId="1" fillId="0" borderId="0" xfId="15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0" xfId="0" applyFont="1" applyAlignment="1" quotePrefix="1">
      <alignment/>
    </xf>
    <xf numFmtId="43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179" fontId="1" fillId="0" borderId="0" xfId="15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179" fontId="14" fillId="0" borderId="0" xfId="15" applyNumberFormat="1" applyFont="1" applyAlignment="1">
      <alignment horizontal="right"/>
    </xf>
    <xf numFmtId="14" fontId="14" fillId="0" borderId="0" xfId="0" applyNumberFormat="1" applyFont="1" applyAlignment="1">
      <alignment horizontal="right"/>
    </xf>
    <xf numFmtId="179" fontId="14" fillId="0" borderId="0" xfId="15" applyNumberFormat="1" applyFont="1" applyAlignment="1" quotePrefix="1">
      <alignment horizontal="right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79" fontId="1" fillId="0" borderId="8" xfId="0" applyNumberFormat="1" applyFont="1" applyBorder="1" applyAlignment="1">
      <alignment/>
    </xf>
    <xf numFmtId="178" fontId="1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78" fontId="1" fillId="0" borderId="0" xfId="0" applyNumberFormat="1" applyFont="1" applyBorder="1" applyAlignment="1">
      <alignment/>
    </xf>
    <xf numFmtId="179" fontId="6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Fill="1" applyBorder="1" applyAlignment="1">
      <alignment/>
    </xf>
    <xf numFmtId="0" fontId="0" fillId="0" borderId="0" xfId="15" applyNumberFormat="1" applyFont="1" applyBorder="1" applyAlignment="1">
      <alignment/>
    </xf>
    <xf numFmtId="179" fontId="0" fillId="0" borderId="0" xfId="15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0" fillId="0" borderId="0" xfId="15" applyNumberFormat="1" applyAlignment="1">
      <alignment horizontal="left" indent="1"/>
    </xf>
    <xf numFmtId="0" fontId="8" fillId="0" borderId="0" xfId="0" applyFont="1" applyAlignment="1">
      <alignment/>
    </xf>
    <xf numFmtId="179" fontId="0" fillId="0" borderId="0" xfId="15" applyNumberFormat="1" applyAlignment="1">
      <alignment horizontal="right"/>
    </xf>
    <xf numFmtId="179" fontId="0" fillId="0" borderId="3" xfId="15" applyNumberFormat="1" applyBorder="1" applyAlignment="1">
      <alignment horizontal="left" indent="1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79" fontId="0" fillId="0" borderId="0" xfId="15" applyNumberFormat="1" applyAlignment="1">
      <alignment/>
    </xf>
    <xf numFmtId="179" fontId="0" fillId="0" borderId="3" xfId="15" applyNumberFormat="1" applyBorder="1" applyAlignment="1">
      <alignment/>
    </xf>
    <xf numFmtId="43" fontId="0" fillId="0" borderId="0" xfId="15" applyAlignment="1">
      <alignment/>
    </xf>
    <xf numFmtId="179" fontId="0" fillId="0" borderId="0" xfId="15" applyNumberFormat="1" applyAlignment="1">
      <alignment horizontal="center"/>
    </xf>
    <xf numFmtId="179" fontId="0" fillId="0" borderId="0" xfId="15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79" fontId="1" fillId="0" borderId="0" xfId="15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20000">
          <a:off x="142875" y="0"/>
          <a:ext cx="3276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4JMYRS2W\Consol%20Cashflow%20-MAR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nsol-1st%20Qt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Flow"/>
      <sheetName val="BS"/>
      <sheetName val="BSVariance"/>
      <sheetName val="Fixed Assets"/>
    </sheetNames>
    <sheetDataSet>
      <sheetData sheetId="0">
        <row r="9">
          <cell r="G9">
            <v>491.44945799999056</v>
          </cell>
        </row>
        <row r="12">
          <cell r="G12">
            <v>1033.6680000000001</v>
          </cell>
        </row>
        <row r="13">
          <cell r="G13">
            <v>-95.12100000000015</v>
          </cell>
        </row>
        <row r="14">
          <cell r="G14">
            <v>6.8706999999999425</v>
          </cell>
        </row>
        <row r="19">
          <cell r="G19">
            <v>-8041.2065840000005</v>
          </cell>
        </row>
        <row r="20">
          <cell r="G20">
            <v>2781.2310960000023</v>
          </cell>
        </row>
        <row r="28">
          <cell r="G28">
            <v>-841.096770000014</v>
          </cell>
        </row>
        <row r="29">
          <cell r="G29">
            <v>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 P&amp;L"/>
      <sheetName val="Consol BS"/>
      <sheetName val="Consol Adj"/>
      <sheetName val="intersales"/>
      <sheetName val="Inter-co"/>
      <sheetName val="MPI (BS)"/>
      <sheetName val="MPI (PL)"/>
    </sheetNames>
    <sheetDataSet>
      <sheetData sheetId="1">
        <row r="7">
          <cell r="R7">
            <v>68837379.77000001</v>
          </cell>
        </row>
        <row r="10">
          <cell r="R10">
            <v>961129.3</v>
          </cell>
        </row>
        <row r="13">
          <cell r="R13">
            <v>22213389.982</v>
          </cell>
        </row>
        <row r="14">
          <cell r="R14">
            <v>21955146.878</v>
          </cell>
        </row>
        <row r="15">
          <cell r="R15">
            <v>4744969.723999999</v>
          </cell>
        </row>
        <row r="19">
          <cell r="R19">
            <v>199548.888</v>
          </cell>
        </row>
        <row r="20">
          <cell r="R20">
            <v>0</v>
          </cell>
        </row>
        <row r="25">
          <cell r="R25">
            <v>27854446.594</v>
          </cell>
        </row>
        <row r="26">
          <cell r="R26">
            <v>16724311.682000002</v>
          </cell>
        </row>
        <row r="28">
          <cell r="R28">
            <v>5194</v>
          </cell>
        </row>
        <row r="29">
          <cell r="R29">
            <v>20665143.08</v>
          </cell>
        </row>
        <row r="34">
          <cell r="R34">
            <v>5142033.66</v>
          </cell>
        </row>
        <row r="35">
          <cell r="R35">
            <v>29744170.020000003</v>
          </cell>
        </row>
        <row r="46">
          <cell r="R46">
            <v>82330810.76</v>
          </cell>
        </row>
        <row r="47">
          <cell r="R47">
            <v>671172.44</v>
          </cell>
        </row>
        <row r="48">
          <cell r="R48">
            <v>129519.54</v>
          </cell>
        </row>
        <row r="49">
          <cell r="R49">
            <v>6977925.670000002</v>
          </cell>
        </row>
        <row r="50">
          <cell r="R50">
            <v>-72461976.412</v>
          </cell>
        </row>
        <row r="55">
          <cell r="R55">
            <v>1013132.84</v>
          </cell>
        </row>
        <row r="56">
          <cell r="R56">
            <v>5302.27</v>
          </cell>
        </row>
        <row r="59">
          <cell r="R59">
            <v>110325.87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workbookViewId="0" topLeftCell="A1">
      <selection activeCell="J1" sqref="J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3.7109375" style="0" customWidth="1"/>
    <col min="4" max="4" width="4.7109375" style="0" customWidth="1"/>
    <col min="5" max="5" width="22.140625" style="0" customWidth="1"/>
    <col min="7" max="7" width="10.7109375" style="0" customWidth="1"/>
    <col min="8" max="8" width="18.421875" style="0" customWidth="1"/>
    <col min="9" max="9" width="2.57421875" style="0" customWidth="1"/>
    <col min="10" max="10" width="17.8515625" style="0" customWidth="1"/>
    <col min="16" max="16" width="14.7109375" style="0" customWidth="1"/>
  </cols>
  <sheetData>
    <row r="1" spans="9:10" ht="12.75">
      <c r="I1" s="1"/>
      <c r="J1" s="48"/>
    </row>
    <row r="2" spans="9:10" ht="12.75">
      <c r="I2" s="1"/>
      <c r="J2" s="48"/>
    </row>
    <row r="3" spans="1:15" s="12" customFormat="1" ht="16.5" customHeight="1">
      <c r="A3" s="99" t="s">
        <v>74</v>
      </c>
      <c r="B3" s="99"/>
      <c r="C3" s="99"/>
      <c r="D3" s="99"/>
      <c r="E3" s="99"/>
      <c r="F3" s="99"/>
      <c r="G3" s="99"/>
      <c r="H3" s="99"/>
      <c r="I3" s="99"/>
      <c r="J3" s="99"/>
      <c r="K3" s="13"/>
      <c r="L3" s="13"/>
      <c r="M3" s="13"/>
      <c r="N3" s="13"/>
      <c r="O3" s="14"/>
    </row>
    <row r="4" spans="1:10" ht="11.2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1.25" customHeight="1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0" ht="11.25" customHeight="1">
      <c r="A6" s="11"/>
      <c r="B6" s="2"/>
      <c r="C6" s="15"/>
      <c r="D6" s="15"/>
      <c r="E6" s="43"/>
      <c r="F6" s="2"/>
      <c r="G6" s="2"/>
      <c r="H6" s="2"/>
      <c r="I6" s="2"/>
      <c r="J6" s="2"/>
    </row>
    <row r="7" spans="1:14" s="16" customFormat="1" ht="15.75">
      <c r="A7" s="100" t="s">
        <v>125</v>
      </c>
      <c r="B7" s="100"/>
      <c r="C7" s="100"/>
      <c r="D7" s="100"/>
      <c r="E7" s="100"/>
      <c r="F7" s="100"/>
      <c r="G7" s="100"/>
      <c r="H7" s="100"/>
      <c r="I7" s="100"/>
      <c r="J7" s="100"/>
      <c r="K7" s="17"/>
      <c r="N7" s="17"/>
    </row>
    <row r="8" spans="1:14" s="16" customFormat="1" ht="18">
      <c r="A8" s="44"/>
      <c r="B8" s="44"/>
      <c r="C8" s="44"/>
      <c r="D8" s="44"/>
      <c r="E8" s="44"/>
      <c r="F8" s="44"/>
      <c r="G8" s="44"/>
      <c r="H8" s="44"/>
      <c r="I8" s="44"/>
      <c r="J8" s="44"/>
      <c r="K8" s="17"/>
      <c r="N8" s="17"/>
    </row>
    <row r="9" spans="1:14" s="16" customFormat="1" ht="15.75">
      <c r="A9" s="45"/>
      <c r="B9" s="45"/>
      <c r="C9" s="45"/>
      <c r="D9" s="45"/>
      <c r="E9" s="45"/>
      <c r="F9" s="45"/>
      <c r="G9" s="45"/>
      <c r="H9" s="45"/>
      <c r="I9" s="45"/>
      <c r="J9" s="45"/>
      <c r="K9" s="17"/>
      <c r="N9" s="17"/>
    </row>
    <row r="10" spans="1:16" s="16" customFormat="1" ht="15.75">
      <c r="A10" s="45"/>
      <c r="B10" s="45"/>
      <c r="C10" s="45"/>
      <c r="D10" s="45"/>
      <c r="E10" s="45"/>
      <c r="F10" s="45"/>
      <c r="G10" s="45"/>
      <c r="H10" s="46" t="s">
        <v>122</v>
      </c>
      <c r="I10" s="47"/>
      <c r="J10" s="46" t="s">
        <v>17</v>
      </c>
      <c r="K10" s="17"/>
      <c r="N10" s="17"/>
      <c r="P10" s="46" t="s">
        <v>15</v>
      </c>
    </row>
    <row r="11" spans="1:16" ht="12.75">
      <c r="A11" s="2"/>
      <c r="B11" s="2"/>
      <c r="C11" s="2"/>
      <c r="D11" s="2"/>
      <c r="E11" s="2"/>
      <c r="F11" s="2"/>
      <c r="G11" s="2"/>
      <c r="H11" s="48" t="s">
        <v>123</v>
      </c>
      <c r="I11" s="48"/>
      <c r="J11" s="48" t="s">
        <v>5</v>
      </c>
      <c r="P11" s="48" t="s">
        <v>16</v>
      </c>
    </row>
    <row r="12" spans="1:16" ht="12.75">
      <c r="A12" s="2"/>
      <c r="B12" s="2"/>
      <c r="C12" s="2"/>
      <c r="D12" s="2"/>
      <c r="E12" s="2"/>
      <c r="F12" s="2"/>
      <c r="G12" s="2"/>
      <c r="H12" s="48" t="s">
        <v>6</v>
      </c>
      <c r="I12" s="48"/>
      <c r="J12" s="48" t="s">
        <v>7</v>
      </c>
      <c r="P12" s="48" t="s">
        <v>6</v>
      </c>
    </row>
    <row r="13" spans="1:16" ht="12.75">
      <c r="A13" s="2"/>
      <c r="B13" s="2"/>
      <c r="C13" s="2"/>
      <c r="D13" s="2"/>
      <c r="E13" s="2"/>
      <c r="F13" s="2"/>
      <c r="G13" s="2"/>
      <c r="H13" s="48"/>
      <c r="I13" s="48"/>
      <c r="J13" s="48" t="s">
        <v>8</v>
      </c>
      <c r="P13" s="48"/>
    </row>
    <row r="14" spans="1:16" ht="12.75">
      <c r="A14" s="2"/>
      <c r="B14" s="2"/>
      <c r="C14" s="2"/>
      <c r="D14" s="2"/>
      <c r="E14" s="2"/>
      <c r="F14" s="2"/>
      <c r="G14" s="2"/>
      <c r="H14" s="49" t="s">
        <v>80</v>
      </c>
      <c r="I14" s="48"/>
      <c r="J14" s="49" t="s">
        <v>78</v>
      </c>
      <c r="P14" s="49" t="s">
        <v>55</v>
      </c>
    </row>
    <row r="15" spans="1:16" ht="12.75">
      <c r="A15" s="2"/>
      <c r="B15" s="2"/>
      <c r="C15" s="2"/>
      <c r="D15" s="2"/>
      <c r="E15" s="2"/>
      <c r="F15" s="2"/>
      <c r="G15" s="2"/>
      <c r="H15" s="49" t="s">
        <v>9</v>
      </c>
      <c r="I15" s="48"/>
      <c r="J15" s="49" t="s">
        <v>9</v>
      </c>
      <c r="P15" s="49" t="s">
        <v>9</v>
      </c>
    </row>
    <row r="17" spans="3:16" ht="12.75">
      <c r="C17" s="2" t="s">
        <v>18</v>
      </c>
      <c r="H17" s="3">
        <f>+'[2]Consol BS'!R7/1000</f>
        <v>68837.37977000001</v>
      </c>
      <c r="J17" s="3">
        <v>69079.7</v>
      </c>
      <c r="P17" s="3">
        <v>75128.73</v>
      </c>
    </row>
    <row r="18" spans="3:16" ht="12.75">
      <c r="C18" t="s">
        <v>45</v>
      </c>
      <c r="H18" s="3">
        <f>+'[2]Consol BS'!R10/1000</f>
        <v>961.1293000000001</v>
      </c>
      <c r="J18" s="3">
        <v>968.2</v>
      </c>
      <c r="P18" s="3">
        <v>1101.45</v>
      </c>
    </row>
    <row r="19" ht="12.75">
      <c r="C19" s="2"/>
    </row>
    <row r="20" spans="3:16" ht="12.75">
      <c r="C20" s="2"/>
      <c r="H20" s="3"/>
      <c r="J20" s="3"/>
      <c r="P20" s="3"/>
    </row>
    <row r="21" spans="8:16" ht="12.75">
      <c r="H21" s="3"/>
      <c r="J21" s="3"/>
      <c r="P21" s="3"/>
    </row>
    <row r="22" spans="3:16" ht="12.75">
      <c r="C22" s="2" t="s">
        <v>1</v>
      </c>
      <c r="H22" s="10"/>
      <c r="J22" s="10"/>
      <c r="P22" s="10"/>
    </row>
    <row r="23" spans="4:16" ht="12.75">
      <c r="D23" t="s">
        <v>2</v>
      </c>
      <c r="H23" s="5">
        <f>+'[2]Consol BS'!R13/1000</f>
        <v>22213.389982</v>
      </c>
      <c r="J23" s="5">
        <v>22779.3</v>
      </c>
      <c r="P23" s="5">
        <v>23869.59</v>
      </c>
    </row>
    <row r="24" spans="4:16" ht="12.75">
      <c r="D24" t="s">
        <v>46</v>
      </c>
      <c r="H24" s="5">
        <f>+'[2]Consol BS'!R14/1000</f>
        <v>21955.146878</v>
      </c>
      <c r="J24" s="5">
        <v>13988.4</v>
      </c>
      <c r="P24" s="5">
        <v>13149.785</v>
      </c>
    </row>
    <row r="25" spans="4:16" ht="12.75">
      <c r="D25" t="s">
        <v>10</v>
      </c>
      <c r="H25" s="5">
        <f>+'[2]Consol BS'!R15/1000</f>
        <v>4744.969724</v>
      </c>
      <c r="J25" s="5">
        <v>4104.8</v>
      </c>
      <c r="P25" s="5">
        <v>4929.384</v>
      </c>
    </row>
    <row r="26" spans="4:16" ht="12.75">
      <c r="D26" t="s">
        <v>11</v>
      </c>
      <c r="H26" s="5">
        <f>(+'[2]Consol BS'!R19+'[2]Consol BS'!R20)/1000</f>
        <v>199.548888</v>
      </c>
      <c r="J26" s="5">
        <f>700+55</f>
        <v>755</v>
      </c>
      <c r="P26" s="5">
        <f>1599.375+0.682</f>
        <v>1600.057</v>
      </c>
    </row>
    <row r="27" spans="8:16" ht="12.75">
      <c r="H27" s="24">
        <f>SUM(H23:H26)+0.1</f>
        <v>49113.155472</v>
      </c>
      <c r="J27" s="24">
        <f>SUM(J23:J26)-0.1</f>
        <v>41627.4</v>
      </c>
      <c r="P27" s="24">
        <f>SUM(P23:P26)</f>
        <v>43548.816</v>
      </c>
    </row>
    <row r="28" spans="3:16" ht="12.75">
      <c r="C28" s="2" t="s">
        <v>12</v>
      </c>
      <c r="H28" s="5"/>
      <c r="J28" s="5"/>
      <c r="P28" s="5"/>
    </row>
    <row r="29" spans="3:16" ht="12.75">
      <c r="C29" s="2"/>
      <c r="D29" t="s">
        <v>19</v>
      </c>
      <c r="H29" s="5">
        <f>+'[2]Consol BS'!R25/1000-0.1</f>
        <v>27854.346594000002</v>
      </c>
      <c r="J29" s="5">
        <v>25931.6</v>
      </c>
      <c r="P29" s="5">
        <f>21681.885</f>
        <v>21681.885</v>
      </c>
    </row>
    <row r="30" spans="3:16" ht="12.75">
      <c r="C30" s="2"/>
      <c r="D30" t="s">
        <v>20</v>
      </c>
      <c r="H30" s="5">
        <f>+'[2]Consol BS'!R26/1000</f>
        <v>16724.311682000003</v>
      </c>
      <c r="J30" s="5">
        <f>15065.7+800</f>
        <v>15865.7</v>
      </c>
      <c r="P30" s="5">
        <f>8511.587+3219.585</f>
        <v>11731.171999999999</v>
      </c>
    </row>
    <row r="31" spans="4:16" ht="12.75">
      <c r="D31" t="s">
        <v>42</v>
      </c>
      <c r="H31" s="5">
        <f>('[2]Consol BS'!R29+'[2]Consol BS'!R34+'[2]Consol BS'!R35)/1000+0.5</f>
        <v>55551.84676000001</v>
      </c>
      <c r="J31" s="5">
        <f>18985.14+32550.69</f>
        <v>51535.83</v>
      </c>
      <c r="P31" s="5">
        <f>27187.458+17738.471+4791.346</f>
        <v>49717.275</v>
      </c>
    </row>
    <row r="32" spans="4:16" ht="12.75">
      <c r="D32" t="s">
        <v>13</v>
      </c>
      <c r="H32" s="5">
        <f>+'[2]Consol BS'!R28/1000</f>
        <v>5.194</v>
      </c>
      <c r="J32" s="5">
        <v>33.6</v>
      </c>
      <c r="P32" s="5">
        <f>6684.292</f>
        <v>6684.292</v>
      </c>
    </row>
    <row r="33" spans="8:16" ht="12.75">
      <c r="H33" s="6"/>
      <c r="J33" s="6"/>
      <c r="P33" s="6">
        <f>SUM(P29:P32)</f>
        <v>89814.624</v>
      </c>
    </row>
    <row r="34" spans="8:16" ht="12.75">
      <c r="H34" s="6">
        <f>SUM(H29:H33)</f>
        <v>100135.69903600002</v>
      </c>
      <c r="J34" s="6">
        <f>SUM(J29:J33)</f>
        <v>93366.73000000001</v>
      </c>
      <c r="P34" s="3"/>
    </row>
    <row r="35" spans="8:16" ht="12.75">
      <c r="H35" s="3"/>
      <c r="J35" s="3"/>
      <c r="P35" s="3">
        <f>P27-P33</f>
        <v>-46265.808</v>
      </c>
    </row>
    <row r="36" spans="3:16" ht="12.75">
      <c r="C36" s="2" t="s">
        <v>47</v>
      </c>
      <c r="H36" s="3">
        <f>H27-H34+0.5</f>
        <v>-51022.04356400002</v>
      </c>
      <c r="J36" s="3">
        <f>J27-J34+0.5</f>
        <v>-51738.83000000001</v>
      </c>
      <c r="P36" s="7" t="s">
        <v>3</v>
      </c>
    </row>
    <row r="37" spans="8:16" ht="13.5" thickBot="1">
      <c r="H37" s="7" t="s">
        <v>3</v>
      </c>
      <c r="J37" s="7" t="s">
        <v>3</v>
      </c>
      <c r="P37" s="25">
        <f>P17+P18+P19+P20+P35</f>
        <v>29964.371999999996</v>
      </c>
    </row>
    <row r="38" spans="8:16" ht="14.25" thickBot="1" thickTop="1">
      <c r="H38" s="25">
        <f>H17+H18+H19+H20+H36</f>
        <v>18776.465505999993</v>
      </c>
      <c r="J38" s="25">
        <f>J17+J18+J19+J20+J36</f>
        <v>18309.069999999985</v>
      </c>
      <c r="P38" s="8"/>
    </row>
    <row r="39" spans="8:16" ht="13.5" thickTop="1">
      <c r="H39" s="8"/>
      <c r="J39" s="8"/>
      <c r="P39" s="3"/>
    </row>
    <row r="40" spans="3:16" ht="12.75">
      <c r="C40" s="2"/>
      <c r="H40" s="3"/>
      <c r="J40" s="3"/>
      <c r="P40" s="8">
        <v>82330.811</v>
      </c>
    </row>
    <row r="41" spans="3:16" ht="12.75">
      <c r="C41" t="s">
        <v>48</v>
      </c>
      <c r="H41" s="8">
        <f>+'[2]Consol BS'!R46/1000</f>
        <v>82330.81076000001</v>
      </c>
      <c r="J41" s="8">
        <v>82330.811</v>
      </c>
      <c r="P41" s="8"/>
    </row>
    <row r="42" spans="3:16" ht="12.75">
      <c r="C42" t="s">
        <v>49</v>
      </c>
      <c r="H42" s="8"/>
      <c r="J42" s="8"/>
      <c r="P42" s="8">
        <v>6977.926</v>
      </c>
    </row>
    <row r="43" spans="4:16" ht="12.75">
      <c r="D43" t="s">
        <v>0</v>
      </c>
      <c r="H43" s="8">
        <f>+'[2]Consol BS'!R49/1000</f>
        <v>6977.925670000001</v>
      </c>
      <c r="J43" s="8">
        <v>6977.93</v>
      </c>
      <c r="P43" s="8">
        <v>1726</v>
      </c>
    </row>
    <row r="44" spans="4:16" ht="12.75">
      <c r="D44" t="s">
        <v>69</v>
      </c>
      <c r="H44" s="8">
        <f>+'[2]Consol BS'!R47/1000</f>
        <v>671.1724399999999</v>
      </c>
      <c r="J44" s="8">
        <v>671.172</v>
      </c>
      <c r="P44" s="8">
        <f>617.63-279.827</f>
        <v>337.803</v>
      </c>
    </row>
    <row r="45" spans="4:16" ht="12.75">
      <c r="D45" t="s">
        <v>70</v>
      </c>
      <c r="H45" s="8">
        <f>+'[2]Consol BS'!R48/1000</f>
        <v>129.51954</v>
      </c>
      <c r="J45" s="8">
        <v>129.6</v>
      </c>
      <c r="P45" s="8">
        <v>-64493.688</v>
      </c>
    </row>
    <row r="46" spans="4:16" ht="12.75">
      <c r="D46" t="s">
        <v>71</v>
      </c>
      <c r="H46" s="8">
        <f>+'[2]Consol BS'!R50/1000</f>
        <v>-72461.976412</v>
      </c>
      <c r="J46" s="8">
        <v>-72953.4</v>
      </c>
      <c r="P46" s="42">
        <f>SUM(P40:P45)</f>
        <v>26878.852000000006</v>
      </c>
    </row>
    <row r="47" spans="3:16" ht="12.75">
      <c r="C47" t="s">
        <v>50</v>
      </c>
      <c r="H47" s="42">
        <f>SUM(H41:H46)</f>
        <v>17647.45199799999</v>
      </c>
      <c r="J47" s="42">
        <f>SUM(J41:J46)</f>
        <v>17156.113000000027</v>
      </c>
      <c r="P47" s="8">
        <v>-30</v>
      </c>
    </row>
    <row r="48" spans="3:16" ht="12.75">
      <c r="C48" t="s">
        <v>53</v>
      </c>
      <c r="H48" s="8">
        <f>+'[2]Consol BS'!R59/1000</f>
        <v>110.32587</v>
      </c>
      <c r="J48" s="8">
        <v>110.4</v>
      </c>
      <c r="P48" s="34">
        <f>+P46+P47</f>
        <v>26848.852000000006</v>
      </c>
    </row>
    <row r="49" spans="8:16" ht="12.75">
      <c r="H49" s="34">
        <f>+H47+H48</f>
        <v>17757.77786799999</v>
      </c>
      <c r="J49" s="34">
        <f>+J47+J48</f>
        <v>17266.513000000028</v>
      </c>
      <c r="P49" s="8"/>
    </row>
    <row r="50" spans="3:16" ht="12.75">
      <c r="C50" t="s">
        <v>51</v>
      </c>
      <c r="H50" s="8"/>
      <c r="J50" s="8"/>
      <c r="P50" s="3">
        <f>82.358</f>
        <v>82.358</v>
      </c>
    </row>
    <row r="51" spans="4:16" ht="12.75">
      <c r="D51" t="s">
        <v>79</v>
      </c>
      <c r="H51" s="8">
        <f>+'[2]Consol BS'!R55/1000</f>
        <v>1013.13284</v>
      </c>
      <c r="J51" s="8">
        <v>1013.13</v>
      </c>
      <c r="P51" s="3"/>
    </row>
    <row r="52" spans="4:16" ht="12.75">
      <c r="D52" t="s">
        <v>52</v>
      </c>
      <c r="H52" s="3">
        <f>+'[2]Consol BS'!R56/1000</f>
        <v>5.30227</v>
      </c>
      <c r="J52" s="3">
        <v>29.1</v>
      </c>
      <c r="P52" s="8">
        <f>3032.653</f>
        <v>3032.653</v>
      </c>
    </row>
    <row r="53" spans="8:16" ht="13.5" thickBot="1">
      <c r="H53" s="8"/>
      <c r="J53" s="8"/>
      <c r="P53" s="25">
        <f>+P48+P50+P52</f>
        <v>29963.863000000005</v>
      </c>
    </row>
    <row r="54" spans="8:16" ht="14.25" thickBot="1" thickTop="1">
      <c r="H54" s="25">
        <f>+H49+H52+H53+H51</f>
        <v>18776.21297799999</v>
      </c>
      <c r="J54" s="25">
        <f>+J49+J52+J53+J51</f>
        <v>18308.743000000028</v>
      </c>
      <c r="P54" s="3"/>
    </row>
    <row r="55" ht="13.5" thickTop="1"/>
    <row r="56" ht="12.75">
      <c r="H56" s="8"/>
    </row>
    <row r="57" spans="8:10" ht="12.75">
      <c r="H57" s="8"/>
      <c r="J57" s="8"/>
    </row>
    <row r="58" spans="9:10" ht="12.75">
      <c r="I58" s="3"/>
      <c r="J58" s="8"/>
    </row>
    <row r="59" spans="3:10" ht="12.75">
      <c r="C59" t="s">
        <v>54</v>
      </c>
      <c r="H59" s="29">
        <f>(H47-H18)/(H41)</f>
        <v>0.20267409665916897</v>
      </c>
      <c r="J59" s="29">
        <f>(J47-J18)/(J41)</f>
        <v>0.19662035152307714</v>
      </c>
    </row>
    <row r="60" spans="8:10" ht="12.75">
      <c r="H60" s="3"/>
      <c r="J60" s="3"/>
    </row>
    <row r="61" spans="3:10" ht="12.75">
      <c r="C61" s="101" t="s">
        <v>116</v>
      </c>
      <c r="D61" s="101"/>
      <c r="E61" s="101"/>
      <c r="F61" s="101"/>
      <c r="G61" s="101"/>
      <c r="H61" s="101"/>
      <c r="I61" s="101"/>
      <c r="J61" s="101"/>
    </row>
    <row r="62" spans="3:10" ht="12.75">
      <c r="C62" s="101"/>
      <c r="D62" s="101"/>
      <c r="E62" s="101"/>
      <c r="F62" s="101"/>
      <c r="G62" s="101"/>
      <c r="H62" s="101"/>
      <c r="I62" s="101"/>
      <c r="J62" s="101"/>
    </row>
    <row r="63" spans="8:10" ht="12.75">
      <c r="H63" s="3"/>
      <c r="J63" s="3"/>
    </row>
    <row r="64" spans="8:10" ht="12.75">
      <c r="H64" s="3"/>
      <c r="J64" s="3"/>
    </row>
    <row r="65" spans="8:10" ht="12.75">
      <c r="H65" s="26"/>
      <c r="J65" s="3"/>
    </row>
    <row r="66" spans="8:10" ht="12.75">
      <c r="H66" s="3"/>
      <c r="J66" s="3"/>
    </row>
    <row r="67" spans="8:10" ht="12.75">
      <c r="H67" s="8"/>
      <c r="J67" s="3"/>
    </row>
    <row r="68" spans="8:10" ht="12.75">
      <c r="H68" s="3"/>
      <c r="J68" s="3"/>
    </row>
    <row r="69" spans="8:10" ht="12.75">
      <c r="H69" s="3"/>
      <c r="J69" s="3"/>
    </row>
    <row r="70" spans="8:10" ht="12.75">
      <c r="H70" s="3"/>
      <c r="J70" s="3"/>
    </row>
    <row r="71" spans="8:10" ht="12.75">
      <c r="H71" s="3"/>
      <c r="J71" s="3"/>
    </row>
    <row r="72" spans="8:10" ht="12.75">
      <c r="H72" s="3"/>
      <c r="J72" s="3"/>
    </row>
    <row r="73" spans="8:10" ht="12.75">
      <c r="H73" s="3"/>
      <c r="J73" s="3"/>
    </row>
    <row r="74" spans="8:10" ht="12.75">
      <c r="H74" s="3"/>
      <c r="J74" s="3"/>
    </row>
    <row r="75" spans="8:10" ht="12.75">
      <c r="H75" s="3"/>
      <c r="J75" s="3"/>
    </row>
    <row r="76" spans="8:10" ht="12.75">
      <c r="H76" s="3"/>
      <c r="J76" s="3"/>
    </row>
    <row r="77" spans="8:10" ht="12.75">
      <c r="H77" s="3"/>
      <c r="J77" s="3"/>
    </row>
    <row r="78" spans="8:10" ht="12.75">
      <c r="H78" s="3"/>
      <c r="J78" s="3"/>
    </row>
    <row r="79" spans="8:10" ht="12.75">
      <c r="H79" s="3"/>
      <c r="J79" s="3"/>
    </row>
    <row r="80" spans="8:10" ht="12.75">
      <c r="H80" s="3"/>
      <c r="J80" s="3"/>
    </row>
    <row r="81" spans="8:10" ht="12.75">
      <c r="H81" s="3"/>
      <c r="J81" s="3"/>
    </row>
    <row r="82" ht="12.75">
      <c r="H82" s="3"/>
    </row>
    <row r="83" ht="12.75">
      <c r="H83" s="3"/>
    </row>
    <row r="84" ht="12.75">
      <c r="H84" s="3"/>
    </row>
    <row r="85" ht="12.75">
      <c r="H85" s="3"/>
    </row>
    <row r="86" ht="12.75">
      <c r="H86" s="3"/>
    </row>
    <row r="87" ht="12.75">
      <c r="H87" s="3"/>
    </row>
    <row r="88" ht="12.75">
      <c r="H88" s="3"/>
    </row>
    <row r="89" ht="12.75">
      <c r="H89" s="3"/>
    </row>
    <row r="90" ht="12.75">
      <c r="H90" s="3"/>
    </row>
  </sheetData>
  <mergeCells count="3">
    <mergeCell ref="A3:J5"/>
    <mergeCell ref="A7:J7"/>
    <mergeCell ref="C61:J62"/>
  </mergeCells>
  <printOptions/>
  <pageMargins left="0.75" right="0.25" top="0.5" bottom="0.25" header="0.5" footer="0.5"/>
  <pageSetup orientation="portrait" paperSize="9" scale="93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77"/>
  <sheetViews>
    <sheetView workbookViewId="0" topLeftCell="A1">
      <selection activeCell="M2" sqref="M2"/>
    </sheetView>
  </sheetViews>
  <sheetFormatPr defaultColWidth="9.140625" defaultRowHeight="12.75"/>
  <cols>
    <col min="1" max="1" width="4.7109375" style="16" customWidth="1"/>
    <col min="2" max="2" width="1.7109375" style="16" customWidth="1"/>
    <col min="3" max="3" width="4.28125" style="16" customWidth="1"/>
    <col min="4" max="4" width="18.00390625" style="16" customWidth="1"/>
    <col min="5" max="5" width="6.8515625" style="16" customWidth="1"/>
    <col min="6" max="6" width="7.28125" style="16" customWidth="1"/>
    <col min="7" max="7" width="12.7109375" style="16" customWidth="1"/>
    <col min="8" max="8" width="1.7109375" style="16" customWidth="1"/>
    <col min="9" max="9" width="13.7109375" style="16" customWidth="1"/>
    <col min="10" max="10" width="3.7109375" style="16" customWidth="1"/>
    <col min="11" max="11" width="12.7109375" style="17" customWidth="1"/>
    <col min="12" max="12" width="1.7109375" style="16" customWidth="1"/>
    <col min="13" max="13" width="13.7109375" style="16" customWidth="1"/>
    <col min="14" max="14" width="8.00390625" style="16" customWidth="1"/>
    <col min="15" max="15" width="8.8515625" style="16" customWidth="1"/>
    <col min="16" max="17" width="9.140625" style="16" customWidth="1"/>
    <col min="18" max="18" width="10.7109375" style="16" customWidth="1"/>
    <col min="19" max="19" width="10.140625" style="16" bestFit="1" customWidth="1"/>
    <col min="20" max="20" width="11.00390625" style="16" customWidth="1"/>
    <col min="21" max="21" width="5.140625" style="16" customWidth="1"/>
    <col min="22" max="22" width="11.7109375" style="16" customWidth="1"/>
    <col min="23" max="23" width="9.140625" style="16" customWidth="1"/>
    <col min="24" max="24" width="9.8515625" style="16" bestFit="1" customWidth="1"/>
    <col min="25" max="16384" width="9.140625" style="16" customWidth="1"/>
  </cols>
  <sheetData>
    <row r="2" ht="12.75">
      <c r="M2" s="22"/>
    </row>
    <row r="4" spans="1:15" s="12" customFormat="1" ht="16.5" customHeight="1">
      <c r="A4" s="11"/>
      <c r="C4" s="99" t="s">
        <v>75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43"/>
      <c r="O4" s="43"/>
    </row>
    <row r="5" spans="1:15" ht="11.25" customHeight="1">
      <c r="A5" s="11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43"/>
      <c r="O5" s="43"/>
    </row>
    <row r="6" spans="1:15" ht="11.25" customHeight="1">
      <c r="A6" s="11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43"/>
      <c r="O6" s="43"/>
    </row>
    <row r="7" spans="1:15" ht="15" customHeight="1">
      <c r="A7" s="11" t="s">
        <v>3</v>
      </c>
      <c r="C7" s="105" t="s">
        <v>124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73"/>
      <c r="O7" s="73"/>
    </row>
    <row r="8" spans="1:15" ht="15" customHeight="1">
      <c r="A8" s="11"/>
      <c r="C8" s="106" t="s">
        <v>86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72"/>
      <c r="O8" s="72"/>
    </row>
    <row r="9" spans="1:15" ht="11.25" customHeight="1">
      <c r="A9" s="11"/>
      <c r="C9" s="15"/>
      <c r="D9" s="15"/>
      <c r="E9" s="43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18"/>
      <c r="B10" s="19"/>
      <c r="C10" s="27"/>
      <c r="D10" s="50"/>
      <c r="E10" s="50"/>
      <c r="F10" s="50"/>
      <c r="G10" s="50"/>
      <c r="H10" s="50"/>
      <c r="I10" s="50"/>
      <c r="J10" s="50"/>
      <c r="K10" s="50"/>
      <c r="L10" s="50"/>
      <c r="N10" s="50"/>
      <c r="O10" s="50"/>
    </row>
    <row r="11" spans="1:15" ht="15.75">
      <c r="A11" s="18"/>
      <c r="B11" s="19"/>
      <c r="C11" s="27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.75">
      <c r="A12" s="18"/>
      <c r="B12" s="19"/>
      <c r="C12" s="27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3:15" ht="12.75">
      <c r="C13" s="1" t="s">
        <v>14</v>
      </c>
      <c r="D13" s="1"/>
      <c r="E13" s="1"/>
      <c r="F13" s="1"/>
      <c r="G13" s="104"/>
      <c r="H13" s="104"/>
      <c r="I13" s="104"/>
      <c r="J13" s="52"/>
      <c r="K13" s="107"/>
      <c r="L13" s="108"/>
      <c r="M13" s="108"/>
      <c r="N13" s="69"/>
      <c r="O13" s="69"/>
    </row>
    <row r="14" spans="3:27" s="20" customFormat="1" ht="13.5" customHeight="1">
      <c r="C14" s="51"/>
      <c r="D14" s="51"/>
      <c r="E14" s="51"/>
      <c r="F14" s="51"/>
      <c r="G14" s="66" t="s">
        <v>59</v>
      </c>
      <c r="H14" s="66"/>
      <c r="I14" s="64" t="s">
        <v>56</v>
      </c>
      <c r="J14" s="64"/>
      <c r="K14" s="66" t="s">
        <v>59</v>
      </c>
      <c r="L14" s="64"/>
      <c r="M14" s="64" t="s">
        <v>56</v>
      </c>
      <c r="N14" s="64"/>
      <c r="T14" s="66" t="s">
        <v>59</v>
      </c>
      <c r="V14" s="66" t="s">
        <v>59</v>
      </c>
      <c r="W14" s="66" t="s">
        <v>59</v>
      </c>
      <c r="X14" s="66" t="s">
        <v>59</v>
      </c>
      <c r="Y14" s="66" t="s">
        <v>59</v>
      </c>
      <c r="Z14" s="66" t="s">
        <v>59</v>
      </c>
      <c r="AA14" s="97"/>
    </row>
    <row r="15" spans="3:27" s="20" customFormat="1" ht="13.5" customHeight="1">
      <c r="C15" s="51"/>
      <c r="D15" s="51"/>
      <c r="E15" s="51"/>
      <c r="F15" s="51"/>
      <c r="G15" s="64" t="s">
        <v>6</v>
      </c>
      <c r="H15" s="64"/>
      <c r="I15" s="64" t="s">
        <v>6</v>
      </c>
      <c r="J15" s="64"/>
      <c r="K15" s="64" t="s">
        <v>57</v>
      </c>
      <c r="L15" s="64"/>
      <c r="M15" s="64" t="s">
        <v>57</v>
      </c>
      <c r="N15" s="64"/>
      <c r="T15" s="64" t="s">
        <v>6</v>
      </c>
      <c r="V15" s="64" t="s">
        <v>57</v>
      </c>
      <c r="W15" s="64" t="s">
        <v>6</v>
      </c>
      <c r="X15" s="64" t="s">
        <v>6</v>
      </c>
      <c r="Y15" s="64" t="s">
        <v>6</v>
      </c>
      <c r="Z15" s="64" t="s">
        <v>6</v>
      </c>
      <c r="AA15" s="97"/>
    </row>
    <row r="16" spans="3:27" s="20" customFormat="1" ht="13.5" customHeight="1">
      <c r="C16" s="51"/>
      <c r="D16" s="51"/>
      <c r="E16" s="51"/>
      <c r="F16" s="51"/>
      <c r="G16" s="64" t="s">
        <v>58</v>
      </c>
      <c r="H16" s="64"/>
      <c r="I16" s="64" t="s">
        <v>58</v>
      </c>
      <c r="J16" s="64"/>
      <c r="K16" s="64" t="s">
        <v>58</v>
      </c>
      <c r="L16" s="64"/>
      <c r="M16" s="64" t="s">
        <v>58</v>
      </c>
      <c r="N16" s="64"/>
      <c r="T16" s="64" t="s">
        <v>58</v>
      </c>
      <c r="U16" s="21"/>
      <c r="V16" s="64" t="s">
        <v>58</v>
      </c>
      <c r="W16" s="64" t="s">
        <v>58</v>
      </c>
      <c r="X16" s="64" t="s">
        <v>58</v>
      </c>
      <c r="Y16" s="64" t="s">
        <v>58</v>
      </c>
      <c r="Z16" s="64" t="s">
        <v>58</v>
      </c>
      <c r="AA16" s="97"/>
    </row>
    <row r="17" spans="3:27" ht="12.75">
      <c r="C17" s="1"/>
      <c r="D17" s="1"/>
      <c r="E17" s="1"/>
      <c r="F17" s="1"/>
      <c r="G17" s="68" t="s">
        <v>80</v>
      </c>
      <c r="H17" s="64" t="s">
        <v>3</v>
      </c>
      <c r="I17" s="68" t="s">
        <v>81</v>
      </c>
      <c r="J17" s="64"/>
      <c r="K17" s="68" t="s">
        <v>80</v>
      </c>
      <c r="L17" s="64" t="s">
        <v>3</v>
      </c>
      <c r="M17" s="68" t="s">
        <v>81</v>
      </c>
      <c r="N17" s="68"/>
      <c r="T17" s="68" t="s">
        <v>80</v>
      </c>
      <c r="U17" s="76"/>
      <c r="V17" s="68" t="s">
        <v>78</v>
      </c>
      <c r="W17" s="68" t="s">
        <v>78</v>
      </c>
      <c r="X17" s="67">
        <v>38260</v>
      </c>
      <c r="Y17" s="67">
        <v>38168</v>
      </c>
      <c r="Z17" s="67" t="s">
        <v>85</v>
      </c>
      <c r="AA17" s="28"/>
    </row>
    <row r="18" spans="3:27" ht="12.75">
      <c r="C18" s="1"/>
      <c r="D18" s="1"/>
      <c r="E18" s="1"/>
      <c r="F18" s="1"/>
      <c r="G18" s="48" t="s">
        <v>4</v>
      </c>
      <c r="H18" s="48"/>
      <c r="I18" s="48" t="s">
        <v>4</v>
      </c>
      <c r="J18" s="65"/>
      <c r="K18" s="63" t="s">
        <v>4</v>
      </c>
      <c r="L18" s="48"/>
      <c r="M18" s="48" t="s">
        <v>4</v>
      </c>
      <c r="N18" s="48"/>
      <c r="T18" s="48" t="s">
        <v>4</v>
      </c>
      <c r="V18" s="63" t="s">
        <v>4</v>
      </c>
      <c r="W18" s="63" t="s">
        <v>4</v>
      </c>
      <c r="X18" s="48" t="s">
        <v>4</v>
      </c>
      <c r="Y18" s="48" t="s">
        <v>4</v>
      </c>
      <c r="Z18" s="48" t="s">
        <v>4</v>
      </c>
      <c r="AA18" s="28"/>
    </row>
    <row r="19" spans="3:27" ht="12.75">
      <c r="C19" s="1"/>
      <c r="D19" s="1"/>
      <c r="E19" s="1"/>
      <c r="F19" s="1"/>
      <c r="G19" s="1"/>
      <c r="H19" s="1"/>
      <c r="I19" s="1"/>
      <c r="J19" s="52"/>
      <c r="K19" s="37"/>
      <c r="L19" s="1"/>
      <c r="M19" s="1"/>
      <c r="N19" s="1"/>
      <c r="T19" s="1"/>
      <c r="V19" s="37"/>
      <c r="W19" s="37"/>
      <c r="X19" s="1"/>
      <c r="Z19" s="1"/>
      <c r="AA19" s="28"/>
    </row>
    <row r="20" spans="1:27" ht="12.75">
      <c r="A20" s="22"/>
      <c r="C20" s="2" t="s">
        <v>76</v>
      </c>
      <c r="D20" s="1"/>
      <c r="E20" s="1"/>
      <c r="F20" s="1"/>
      <c r="G20" s="53">
        <v>28266</v>
      </c>
      <c r="H20" s="52"/>
      <c r="I20" s="53">
        <v>8910</v>
      </c>
      <c r="J20" s="52"/>
      <c r="K20" s="53">
        <v>28266</v>
      </c>
      <c r="L20" s="52"/>
      <c r="M20" s="53">
        <v>8910</v>
      </c>
      <c r="N20" s="38"/>
      <c r="T20" s="53">
        <v>28266</v>
      </c>
      <c r="U20" s="53"/>
      <c r="V20" s="53">
        <f>SUM(W20:Z20)</f>
        <v>60467</v>
      </c>
      <c r="W20" s="53">
        <f>22692-1408</f>
        <v>21284</v>
      </c>
      <c r="X20" s="53">
        <v>18550</v>
      </c>
      <c r="Y20" s="23">
        <v>11723</v>
      </c>
      <c r="Z20" s="53">
        <v>8910</v>
      </c>
      <c r="AA20" s="41"/>
    </row>
    <row r="21" spans="1:27" ht="15">
      <c r="A21" s="22"/>
      <c r="C21" s="54"/>
      <c r="D21" s="1"/>
      <c r="E21" s="1"/>
      <c r="F21" s="1"/>
      <c r="G21" s="53"/>
      <c r="H21" s="52"/>
      <c r="I21" s="53"/>
      <c r="J21" s="52"/>
      <c r="K21" s="53"/>
      <c r="L21" s="52"/>
      <c r="M21" s="53"/>
      <c r="N21" s="38"/>
      <c r="T21" s="53"/>
      <c r="U21" s="53"/>
      <c r="V21" s="53"/>
      <c r="W21" s="53"/>
      <c r="X21" s="53"/>
      <c r="Z21" s="53"/>
      <c r="AA21" s="28"/>
    </row>
    <row r="22" spans="1:27" ht="14.25">
      <c r="A22" s="22"/>
      <c r="C22" s="12" t="s">
        <v>60</v>
      </c>
      <c r="D22" s="1"/>
      <c r="E22" s="1"/>
      <c r="F22" s="1"/>
      <c r="G22" s="53">
        <v>-27009.7</v>
      </c>
      <c r="H22" s="52"/>
      <c r="I22" s="53">
        <v>-11613</v>
      </c>
      <c r="J22" s="52"/>
      <c r="K22" s="53">
        <v>-27009.7</v>
      </c>
      <c r="L22" s="52"/>
      <c r="M22" s="53">
        <v>-11613</v>
      </c>
      <c r="N22" s="38"/>
      <c r="T22" s="53">
        <v>-27009.7</v>
      </c>
      <c r="U22" s="53"/>
      <c r="V22" s="53">
        <f>SUM(W22:Z22)</f>
        <v>-67433.1</v>
      </c>
      <c r="W22" s="53">
        <f>-23801+1282</f>
        <v>-22519</v>
      </c>
      <c r="X22" s="77">
        <f>-19390-30</f>
        <v>-19420</v>
      </c>
      <c r="Y22" s="23">
        <f>-13871.1+5-15</f>
        <v>-13881.1</v>
      </c>
      <c r="Z22" s="53">
        <f>-11604+1-10</f>
        <v>-11613</v>
      </c>
      <c r="AA22" s="41"/>
    </row>
    <row r="23" spans="1:27" ht="15">
      <c r="A23" s="22"/>
      <c r="C23" s="54"/>
      <c r="D23" s="1"/>
      <c r="E23" s="1"/>
      <c r="F23" s="1"/>
      <c r="G23" s="53"/>
      <c r="H23" s="52"/>
      <c r="I23" s="53"/>
      <c r="J23" s="52"/>
      <c r="K23" s="53"/>
      <c r="L23" s="52"/>
      <c r="M23" s="53"/>
      <c r="N23" s="38"/>
      <c r="T23" s="53"/>
      <c r="U23" s="53"/>
      <c r="V23" s="53"/>
      <c r="W23" s="53"/>
      <c r="X23" s="77"/>
      <c r="Y23" s="53"/>
      <c r="Z23" s="53"/>
      <c r="AA23" s="28"/>
    </row>
    <row r="24" spans="3:27" ht="14.25">
      <c r="C24" s="12" t="s">
        <v>61</v>
      </c>
      <c r="D24" s="1"/>
      <c r="E24" s="1"/>
      <c r="F24" s="1"/>
      <c r="G24" s="53">
        <v>97.4</v>
      </c>
      <c r="H24" s="1"/>
      <c r="I24" s="53">
        <v>386</v>
      </c>
      <c r="J24" s="52"/>
      <c r="K24" s="53">
        <v>97.4</v>
      </c>
      <c r="L24" s="1"/>
      <c r="M24" s="53">
        <v>386</v>
      </c>
      <c r="N24" s="38"/>
      <c r="T24" s="53">
        <v>97.4</v>
      </c>
      <c r="U24" s="53"/>
      <c r="V24" s="53">
        <f>SUM(W24:Z24)</f>
        <v>1104.7</v>
      </c>
      <c r="W24" s="53">
        <f>100+311</f>
        <v>411</v>
      </c>
      <c r="X24" s="77">
        <v>23</v>
      </c>
      <c r="Y24" s="23">
        <v>284.7</v>
      </c>
      <c r="Z24" s="53">
        <v>386</v>
      </c>
      <c r="AA24" s="41"/>
    </row>
    <row r="25" spans="3:27" ht="12.75">
      <c r="C25" s="1"/>
      <c r="D25" s="1"/>
      <c r="E25" s="1"/>
      <c r="F25" s="1"/>
      <c r="G25" s="53"/>
      <c r="H25" s="52"/>
      <c r="I25" s="52"/>
      <c r="J25" s="52"/>
      <c r="K25" s="53"/>
      <c r="L25" s="52"/>
      <c r="M25" s="52"/>
      <c r="N25" s="38"/>
      <c r="T25" s="53"/>
      <c r="U25" s="53"/>
      <c r="V25" s="53"/>
      <c r="W25" s="53"/>
      <c r="X25" s="77"/>
      <c r="Y25" s="52"/>
      <c r="Z25" s="52"/>
      <c r="AA25" s="28"/>
    </row>
    <row r="26" spans="3:27" ht="12.75">
      <c r="C26" s="1"/>
      <c r="D26" s="1"/>
      <c r="E26" s="1"/>
      <c r="F26" s="1"/>
      <c r="G26" s="55"/>
      <c r="H26" s="52"/>
      <c r="I26" s="55"/>
      <c r="J26" s="52"/>
      <c r="K26" s="55"/>
      <c r="L26" s="52"/>
      <c r="M26" s="55"/>
      <c r="N26" s="38"/>
      <c r="T26" s="55"/>
      <c r="U26" s="55"/>
      <c r="V26" s="55"/>
      <c r="W26" s="55"/>
      <c r="X26" s="77"/>
      <c r="Y26" s="55"/>
      <c r="Z26" s="55"/>
      <c r="AA26" s="28"/>
    </row>
    <row r="27" spans="1:28" ht="12.75">
      <c r="A27" s="22"/>
      <c r="C27" s="1" t="s">
        <v>63</v>
      </c>
      <c r="D27" s="1"/>
      <c r="E27" s="1"/>
      <c r="F27" s="1"/>
      <c r="G27" s="56">
        <f>+G20+G22+G24-0.3</f>
        <v>1353.3999999999994</v>
      </c>
      <c r="H27" s="1"/>
      <c r="I27" s="56">
        <f>+I20+I22+I24</f>
        <v>-2317</v>
      </c>
      <c r="J27" s="52"/>
      <c r="K27" s="56">
        <f>+K20+K22+K24-0.3</f>
        <v>1353.3999999999994</v>
      </c>
      <c r="L27" s="1"/>
      <c r="M27" s="56">
        <f>+M20+M22+M24</f>
        <v>-2317</v>
      </c>
      <c r="N27" s="38"/>
      <c r="T27" s="56">
        <f>+T20+T22+T24-0.3</f>
        <v>1353.3999999999994</v>
      </c>
      <c r="U27" s="56"/>
      <c r="V27" s="56">
        <f>+V20+V22+V24</f>
        <v>-5861.400000000006</v>
      </c>
      <c r="W27" s="56">
        <f>+W20+W22+W24</f>
        <v>-824</v>
      </c>
      <c r="X27" s="56">
        <f>+X20+X22+X24</f>
        <v>-847</v>
      </c>
      <c r="Y27" s="56">
        <f>+Y20+Y22+Y24</f>
        <v>-1873.4000000000003</v>
      </c>
      <c r="Z27" s="56">
        <f>+Z20+Z22+Z24</f>
        <v>-2317</v>
      </c>
      <c r="AA27" s="41"/>
      <c r="AB27" s="23"/>
    </row>
    <row r="28" spans="1:27" ht="12.75">
      <c r="A28" s="22"/>
      <c r="C28" s="1"/>
      <c r="D28" s="1"/>
      <c r="E28" s="1"/>
      <c r="F28" s="1"/>
      <c r="G28" s="56"/>
      <c r="H28" s="1"/>
      <c r="I28" s="56"/>
      <c r="J28" s="52"/>
      <c r="K28" s="56"/>
      <c r="L28" s="1"/>
      <c r="M28" s="56"/>
      <c r="N28" s="37"/>
      <c r="T28" s="56"/>
      <c r="U28" s="56"/>
      <c r="V28" s="56"/>
      <c r="W28" s="56"/>
      <c r="X28" s="77"/>
      <c r="Y28" s="56"/>
      <c r="Z28" s="56"/>
      <c r="AA28" s="28"/>
    </row>
    <row r="29" spans="3:27" ht="12.75">
      <c r="C29" s="1"/>
      <c r="D29" s="1"/>
      <c r="E29" s="1"/>
      <c r="F29" s="1"/>
      <c r="G29" s="56"/>
      <c r="H29" s="1"/>
      <c r="I29" s="1"/>
      <c r="J29" s="52"/>
      <c r="K29" s="56"/>
      <c r="L29" s="1"/>
      <c r="M29" s="1"/>
      <c r="N29" s="37"/>
      <c r="T29" s="56"/>
      <c r="U29" s="56"/>
      <c r="V29" s="56"/>
      <c r="W29" s="56"/>
      <c r="X29" s="77"/>
      <c r="Y29" s="1"/>
      <c r="Z29" s="1"/>
      <c r="AA29" s="28"/>
    </row>
    <row r="30" spans="1:27" ht="12.75">
      <c r="A30" s="22"/>
      <c r="C30" s="2" t="s">
        <v>62</v>
      </c>
      <c r="D30" s="1"/>
      <c r="E30" s="1"/>
      <c r="F30" s="1"/>
      <c r="G30" s="53">
        <v>-862.4</v>
      </c>
      <c r="H30" s="1"/>
      <c r="I30" s="53">
        <v>-931</v>
      </c>
      <c r="J30" s="52"/>
      <c r="K30" s="53">
        <v>-862.4</v>
      </c>
      <c r="L30" s="1"/>
      <c r="M30" s="53">
        <v>-931</v>
      </c>
      <c r="N30" s="38"/>
      <c r="T30" s="53">
        <v>-862.4</v>
      </c>
      <c r="U30" s="53"/>
      <c r="V30" s="53">
        <f>SUM(W30:Z30)</f>
        <v>-4026.9</v>
      </c>
      <c r="W30" s="53">
        <v>-973</v>
      </c>
      <c r="X30" s="77">
        <v>-1047</v>
      </c>
      <c r="Y30" s="23">
        <v>-1075.9</v>
      </c>
      <c r="Z30" s="53">
        <v>-931</v>
      </c>
      <c r="AA30" s="41"/>
    </row>
    <row r="31" spans="3:27" ht="12.75">
      <c r="C31" s="2"/>
      <c r="D31" s="1"/>
      <c r="E31" s="1"/>
      <c r="F31" s="1"/>
      <c r="G31" s="56"/>
      <c r="H31" s="52"/>
      <c r="I31" s="53"/>
      <c r="J31" s="52"/>
      <c r="K31" s="56"/>
      <c r="L31" s="1"/>
      <c r="M31" s="53"/>
      <c r="N31" s="37"/>
      <c r="T31" s="56"/>
      <c r="U31" s="56"/>
      <c r="V31" s="56"/>
      <c r="W31" s="56"/>
      <c r="X31" s="77"/>
      <c r="Y31" s="56"/>
      <c r="Z31" s="53">
        <f>+G31</f>
        <v>0</v>
      </c>
      <c r="AA31" s="28"/>
    </row>
    <row r="32" spans="3:27" ht="12.75">
      <c r="C32" s="2" t="s">
        <v>82</v>
      </c>
      <c r="D32" s="1"/>
      <c r="E32" s="1"/>
      <c r="F32" s="1"/>
      <c r="G32" s="53"/>
      <c r="H32" s="1"/>
      <c r="I32" s="56"/>
      <c r="J32" s="52"/>
      <c r="K32" s="53"/>
      <c r="L32" s="1"/>
      <c r="M32" s="56"/>
      <c r="N32" s="38"/>
      <c r="T32" s="53"/>
      <c r="U32" s="53"/>
      <c r="V32" s="53">
        <f>SUM(W32:Z32)</f>
        <v>-1964</v>
      </c>
      <c r="W32" s="53">
        <f>-1787-177</f>
        <v>-1964</v>
      </c>
      <c r="X32" s="77"/>
      <c r="Y32" s="56"/>
      <c r="Z32" s="56"/>
      <c r="AA32" s="41"/>
    </row>
    <row r="33" spans="3:27" ht="12.75">
      <c r="C33" s="2"/>
      <c r="D33" s="1"/>
      <c r="E33" s="1"/>
      <c r="F33" s="1"/>
      <c r="G33" s="56"/>
      <c r="H33" s="1"/>
      <c r="I33" s="56"/>
      <c r="J33" s="52"/>
      <c r="K33" s="56"/>
      <c r="L33" s="1"/>
      <c r="M33" s="56"/>
      <c r="N33" s="37"/>
      <c r="T33" s="56"/>
      <c r="U33" s="56"/>
      <c r="V33" s="56"/>
      <c r="W33" s="56"/>
      <c r="X33" s="77"/>
      <c r="Y33" s="56"/>
      <c r="Z33" s="56"/>
      <c r="AA33" s="28"/>
    </row>
    <row r="34" spans="3:27" ht="12.75">
      <c r="C34" s="2" t="s">
        <v>83</v>
      </c>
      <c r="D34" s="1"/>
      <c r="E34" s="1"/>
      <c r="F34" s="1"/>
      <c r="G34" s="56"/>
      <c r="H34" s="1"/>
      <c r="I34" s="55"/>
      <c r="J34" s="52"/>
      <c r="K34" s="56"/>
      <c r="L34" s="1"/>
      <c r="M34" s="56"/>
      <c r="N34" s="37"/>
      <c r="T34" s="56"/>
      <c r="U34" s="56"/>
      <c r="V34" s="56"/>
      <c r="W34" s="56"/>
      <c r="X34" s="77"/>
      <c r="Y34" s="56"/>
      <c r="Z34" s="56"/>
      <c r="AA34" s="28"/>
    </row>
    <row r="35" spans="1:27" ht="12.75">
      <c r="A35" s="22"/>
      <c r="C35" s="1"/>
      <c r="D35" s="2" t="s">
        <v>84</v>
      </c>
      <c r="E35" s="1"/>
      <c r="F35" s="1"/>
      <c r="G35" s="53"/>
      <c r="H35" s="52"/>
      <c r="I35" s="55">
        <v>0</v>
      </c>
      <c r="J35" s="52"/>
      <c r="K35" s="53"/>
      <c r="L35" s="52"/>
      <c r="M35" s="55">
        <v>0</v>
      </c>
      <c r="N35" s="38"/>
      <c r="T35" s="53"/>
      <c r="U35" s="53"/>
      <c r="V35" s="53">
        <f>SUM(W35:Z35)</f>
        <v>11176</v>
      </c>
      <c r="W35" s="53">
        <v>0</v>
      </c>
      <c r="X35" s="79">
        <v>11176</v>
      </c>
      <c r="Y35" s="78">
        <v>0</v>
      </c>
      <c r="Z35" s="55">
        <v>0</v>
      </c>
      <c r="AA35" s="41"/>
    </row>
    <row r="36" spans="1:27" ht="12.75">
      <c r="A36" s="22"/>
      <c r="C36" s="2"/>
      <c r="D36" s="1"/>
      <c r="E36" s="1"/>
      <c r="F36" s="1"/>
      <c r="G36" s="74"/>
      <c r="H36" s="52"/>
      <c r="I36" s="74"/>
      <c r="J36" s="52"/>
      <c r="K36" s="74"/>
      <c r="L36" s="52"/>
      <c r="M36" s="74"/>
      <c r="N36" s="38"/>
      <c r="T36" s="74"/>
      <c r="U36" s="74"/>
      <c r="V36" s="74"/>
      <c r="W36" s="74"/>
      <c r="X36" s="77"/>
      <c r="Y36" s="53"/>
      <c r="Z36" s="53"/>
      <c r="AA36" s="28"/>
    </row>
    <row r="37" spans="3:28" ht="15">
      <c r="C37" s="54" t="s">
        <v>64</v>
      </c>
      <c r="D37" s="1"/>
      <c r="E37" s="1"/>
      <c r="F37" s="1"/>
      <c r="G37" s="38">
        <f>+G27+G30+G35+G32</f>
        <v>490.99999999999943</v>
      </c>
      <c r="H37" s="52"/>
      <c r="I37" s="38">
        <f>+I27+I30+I35</f>
        <v>-3248</v>
      </c>
      <c r="J37" s="52"/>
      <c r="K37" s="38">
        <f>+K27+K30+K35+K32</f>
        <v>490.99999999999943</v>
      </c>
      <c r="L37" s="52"/>
      <c r="M37" s="38">
        <f>+M27+M30+M35</f>
        <v>-3248</v>
      </c>
      <c r="N37" s="37"/>
      <c r="T37" s="38">
        <f>+T27+T30+T35+T32</f>
        <v>490.99999999999943</v>
      </c>
      <c r="U37" s="38"/>
      <c r="V37" s="38">
        <f>+V27+V30+V35+V32</f>
        <v>-676.3000000000065</v>
      </c>
      <c r="W37" s="38">
        <f>+W27+W30+W35+W32</f>
        <v>-3761</v>
      </c>
      <c r="X37" s="37">
        <f>+X27+X30+X35</f>
        <v>9282</v>
      </c>
      <c r="Y37" s="37">
        <f>+Y27+Y30+Y35</f>
        <v>-2949.3</v>
      </c>
      <c r="Z37" s="37">
        <f>+Z27+Z30+Z35</f>
        <v>-3248</v>
      </c>
      <c r="AA37" s="38"/>
      <c r="AB37" s="23"/>
    </row>
    <row r="38" spans="3:27" ht="15">
      <c r="C38" s="54"/>
      <c r="D38" s="1"/>
      <c r="E38" s="1"/>
      <c r="F38" s="1"/>
      <c r="G38" s="37"/>
      <c r="H38" s="1"/>
      <c r="I38" s="37"/>
      <c r="J38" s="52"/>
      <c r="K38" s="37"/>
      <c r="L38" s="1"/>
      <c r="M38" s="37"/>
      <c r="N38" s="37"/>
      <c r="T38" s="37"/>
      <c r="U38" s="37"/>
      <c r="V38" s="37"/>
      <c r="W38" s="37"/>
      <c r="X38" s="77"/>
      <c r="Y38" s="37"/>
      <c r="Z38" s="37"/>
      <c r="AA38" s="38"/>
    </row>
    <row r="39" spans="3:27" ht="12.75">
      <c r="C39" s="2" t="s">
        <v>65</v>
      </c>
      <c r="D39" s="1"/>
      <c r="E39" s="1"/>
      <c r="F39" s="1"/>
      <c r="G39" s="53">
        <v>0</v>
      </c>
      <c r="H39" s="52"/>
      <c r="I39" s="55"/>
      <c r="J39" s="52"/>
      <c r="K39" s="53">
        <v>0</v>
      </c>
      <c r="L39" s="52"/>
      <c r="M39" s="55"/>
      <c r="N39" s="38"/>
      <c r="T39" s="53">
        <v>0</v>
      </c>
      <c r="U39" s="53"/>
      <c r="V39" s="53">
        <f>SUM(W39:Z39)</f>
        <v>8</v>
      </c>
      <c r="W39" s="53">
        <v>8</v>
      </c>
      <c r="X39" s="79"/>
      <c r="Y39" s="78"/>
      <c r="Z39" s="55"/>
      <c r="AA39" s="38"/>
    </row>
    <row r="40" spans="3:27" ht="12.75">
      <c r="C40" s="2"/>
      <c r="D40" s="1"/>
      <c r="E40" s="1"/>
      <c r="F40" s="1"/>
      <c r="G40" s="74"/>
      <c r="H40" s="52"/>
      <c r="I40" s="57"/>
      <c r="J40" s="52"/>
      <c r="K40" s="74"/>
      <c r="L40" s="52"/>
      <c r="M40" s="57"/>
      <c r="N40" s="58"/>
      <c r="T40" s="74"/>
      <c r="U40" s="74"/>
      <c r="V40" s="74"/>
      <c r="W40" s="74"/>
      <c r="X40" s="77"/>
      <c r="Y40" s="57"/>
      <c r="Z40" s="57"/>
      <c r="AA40" s="28"/>
    </row>
    <row r="41" spans="3:27" ht="15">
      <c r="C41" s="54" t="s">
        <v>66</v>
      </c>
      <c r="D41" s="1"/>
      <c r="E41" s="1"/>
      <c r="F41" s="1"/>
      <c r="G41" s="38">
        <f>+G37+G39</f>
        <v>490.99999999999943</v>
      </c>
      <c r="H41" s="52"/>
      <c r="I41" s="37">
        <f>+I37+I39</f>
        <v>-3248</v>
      </c>
      <c r="J41" s="52"/>
      <c r="K41" s="38">
        <f>+K37+K39</f>
        <v>490.99999999999943</v>
      </c>
      <c r="L41" s="52"/>
      <c r="M41" s="37">
        <f>+M37+M39</f>
        <v>-3248</v>
      </c>
      <c r="N41" s="37"/>
      <c r="T41" s="38">
        <f>+T37+T39</f>
        <v>490.99999999999943</v>
      </c>
      <c r="U41" s="38"/>
      <c r="V41" s="38">
        <f>+V37+V39</f>
        <v>-668.3000000000065</v>
      </c>
      <c r="W41" s="38">
        <f>+W37+W39</f>
        <v>-3753</v>
      </c>
      <c r="X41" s="37">
        <f>+X37+X39</f>
        <v>9282</v>
      </c>
      <c r="Y41" s="37">
        <f>+Y37+Y39</f>
        <v>-2949.3</v>
      </c>
      <c r="Z41" s="37">
        <f>+Z37+Z39</f>
        <v>-3248</v>
      </c>
      <c r="AA41" s="38"/>
    </row>
    <row r="42" spans="3:27" ht="12.75">
      <c r="C42" s="1"/>
      <c r="D42" s="1"/>
      <c r="E42" s="1"/>
      <c r="F42" s="1"/>
      <c r="G42" s="56"/>
      <c r="H42" s="1"/>
      <c r="I42" s="1"/>
      <c r="J42" s="52"/>
      <c r="K42" s="56"/>
      <c r="L42" s="1"/>
      <c r="M42" s="1"/>
      <c r="N42" s="1"/>
      <c r="T42" s="56"/>
      <c r="U42" s="56"/>
      <c r="V42" s="56"/>
      <c r="W42" s="56"/>
      <c r="X42" s="75"/>
      <c r="Y42" s="1"/>
      <c r="Z42" s="1"/>
      <c r="AA42" s="28"/>
    </row>
    <row r="43" spans="3:27" ht="12.75">
      <c r="C43" s="2" t="s">
        <v>68</v>
      </c>
      <c r="D43" s="1"/>
      <c r="E43" s="1"/>
      <c r="F43" s="1"/>
      <c r="G43" s="53">
        <v>0</v>
      </c>
      <c r="H43" s="52"/>
      <c r="I43" s="53"/>
      <c r="J43" s="52"/>
      <c r="K43" s="53">
        <v>0</v>
      </c>
      <c r="L43" s="52"/>
      <c r="M43" s="53"/>
      <c r="N43" s="38"/>
      <c r="T43" s="53">
        <v>0</v>
      </c>
      <c r="U43" s="53"/>
      <c r="V43" s="53">
        <f>SUM(W43:Z43)</f>
        <v>0</v>
      </c>
      <c r="W43" s="53"/>
      <c r="X43" s="77"/>
      <c r="Y43" s="23"/>
      <c r="Z43" s="53"/>
      <c r="AA43" s="28"/>
    </row>
    <row r="44" spans="3:27" ht="12.75">
      <c r="C44" s="2"/>
      <c r="D44" s="1"/>
      <c r="E44" s="1"/>
      <c r="F44" s="1"/>
      <c r="G44" s="53"/>
      <c r="H44" s="52"/>
      <c r="I44" s="53"/>
      <c r="J44" s="52"/>
      <c r="K44" s="53"/>
      <c r="L44" s="52"/>
      <c r="M44" s="53"/>
      <c r="N44" s="38"/>
      <c r="T44" s="53"/>
      <c r="U44" s="53"/>
      <c r="V44" s="53"/>
      <c r="W44" s="53"/>
      <c r="X44" s="53"/>
      <c r="Y44" s="53"/>
      <c r="Z44" s="53"/>
      <c r="AA44" s="28"/>
    </row>
    <row r="45" spans="3:27" ht="13.5" thickBot="1">
      <c r="C45" s="1" t="s">
        <v>67</v>
      </c>
      <c r="D45" s="1"/>
      <c r="E45" s="1"/>
      <c r="F45" s="1"/>
      <c r="G45" s="59">
        <f>+G41+G43</f>
        <v>490.99999999999943</v>
      </c>
      <c r="H45" s="38"/>
      <c r="I45" s="59">
        <f>+I41+I43</f>
        <v>-3248</v>
      </c>
      <c r="J45" s="52"/>
      <c r="K45" s="59">
        <f>+K41+K43</f>
        <v>490.99999999999943</v>
      </c>
      <c r="L45" s="52"/>
      <c r="M45" s="59">
        <f>+M41+M43</f>
        <v>-3248</v>
      </c>
      <c r="N45" s="38"/>
      <c r="T45" s="59">
        <f>+T41+T43</f>
        <v>490.99999999999943</v>
      </c>
      <c r="U45" s="59"/>
      <c r="V45" s="59">
        <f>+V41+V43</f>
        <v>-668.3000000000065</v>
      </c>
      <c r="W45" s="59">
        <f>+W41+W43</f>
        <v>-3753</v>
      </c>
      <c r="X45" s="59">
        <f>+X41+X43</f>
        <v>9282</v>
      </c>
      <c r="Y45" s="59">
        <f>+Y41+Y43</f>
        <v>-2949.3</v>
      </c>
      <c r="Z45" s="59">
        <f>+Z41+Z43</f>
        <v>-3248</v>
      </c>
      <c r="AA45" s="38"/>
    </row>
    <row r="46" spans="3:27" ht="13.5" thickTop="1">
      <c r="C46" s="1"/>
      <c r="D46" s="1"/>
      <c r="E46" s="1"/>
      <c r="F46" s="1"/>
      <c r="G46" s="75"/>
      <c r="H46" s="1"/>
      <c r="I46" s="1"/>
      <c r="J46" s="52"/>
      <c r="K46" s="75"/>
      <c r="L46" s="1"/>
      <c r="M46" s="1"/>
      <c r="N46" s="1"/>
      <c r="T46" s="75"/>
      <c r="U46" s="75"/>
      <c r="V46" s="75"/>
      <c r="W46" s="75"/>
      <c r="X46" s="1"/>
      <c r="Y46" s="1"/>
      <c r="Z46" s="1"/>
      <c r="AA46" s="41"/>
    </row>
    <row r="47" spans="3:27" ht="12.75">
      <c r="C47" s="1"/>
      <c r="D47" s="1"/>
      <c r="E47" s="1"/>
      <c r="F47" s="1"/>
      <c r="G47" s="1"/>
      <c r="H47" s="1"/>
      <c r="I47" s="1"/>
      <c r="J47" s="52"/>
      <c r="K47" s="1"/>
      <c r="L47" s="1"/>
      <c r="M47" s="1"/>
      <c r="N47" s="1"/>
      <c r="T47" s="1"/>
      <c r="U47" s="1"/>
      <c r="V47" s="1"/>
      <c r="W47" s="1"/>
      <c r="X47" s="1"/>
      <c r="Y47" s="1"/>
      <c r="Z47" s="1"/>
      <c r="AA47" s="28"/>
    </row>
    <row r="48" spans="3:27" ht="13.5" thickBot="1">
      <c r="C48" s="1" t="s">
        <v>21</v>
      </c>
      <c r="D48" s="60" t="s">
        <v>22</v>
      </c>
      <c r="E48" s="1"/>
      <c r="F48" s="1"/>
      <c r="G48" s="61">
        <f>G45/82330.811*100</f>
        <v>0.5963745456120909</v>
      </c>
      <c r="H48" s="52"/>
      <c r="I48" s="61">
        <f>I45/82330.811*100</f>
        <v>-3.945060130647808</v>
      </c>
      <c r="J48" s="52"/>
      <c r="K48" s="61">
        <f>K45/82330.811*100</f>
        <v>0.5963745456120909</v>
      </c>
      <c r="L48" s="52"/>
      <c r="M48" s="61">
        <f>M45/82330.811*100</f>
        <v>-3.945060130647808</v>
      </c>
      <c r="N48" s="57"/>
      <c r="T48" s="61">
        <f>T45/82330.811*100</f>
        <v>0.5963745456120909</v>
      </c>
      <c r="U48" s="61"/>
      <c r="V48" s="61">
        <f>V45/82330.811*100</f>
        <v>-0.811725272571415</v>
      </c>
      <c r="W48" s="61">
        <f>W45/82330.811*100</f>
        <v>-4.558439245788555</v>
      </c>
      <c r="X48" s="61">
        <f>X45/82330.811*100</f>
        <v>11.274029597497831</v>
      </c>
      <c r="Y48" s="61">
        <f>Y45/82330.811*100</f>
        <v>-3.582255493632876</v>
      </c>
      <c r="Z48" s="61">
        <f>Z45/82330.811*100</f>
        <v>-3.945060130647808</v>
      </c>
      <c r="AA48" s="57"/>
    </row>
    <row r="49" spans="3:27" ht="12.75">
      <c r="C49" s="1"/>
      <c r="D49" s="60"/>
      <c r="E49" s="1"/>
      <c r="F49" s="1"/>
      <c r="G49" s="52"/>
      <c r="H49" s="52"/>
      <c r="I49" s="52"/>
      <c r="J49" s="52"/>
      <c r="K49" s="52"/>
      <c r="L49" s="52"/>
      <c r="M49" s="52"/>
      <c r="N49" s="52"/>
      <c r="T49" s="52"/>
      <c r="U49" s="52"/>
      <c r="V49" s="52"/>
      <c r="W49" s="52"/>
      <c r="X49" s="52"/>
      <c r="Y49" s="52"/>
      <c r="Z49" s="52"/>
      <c r="AA49" s="28"/>
    </row>
    <row r="50" spans="3:27" ht="13.5" thickBot="1">
      <c r="C50" s="1"/>
      <c r="D50" s="60" t="s">
        <v>23</v>
      </c>
      <c r="E50" s="1"/>
      <c r="F50" s="1"/>
      <c r="G50" s="62">
        <v>0</v>
      </c>
      <c r="H50" s="58"/>
      <c r="I50" s="62"/>
      <c r="J50" s="52"/>
      <c r="K50" s="62">
        <v>0</v>
      </c>
      <c r="L50" s="52"/>
      <c r="M50" s="62"/>
      <c r="N50" s="58"/>
      <c r="T50" s="62">
        <v>0</v>
      </c>
      <c r="U50" s="62"/>
      <c r="V50" s="62">
        <v>0</v>
      </c>
      <c r="W50" s="62"/>
      <c r="X50" s="62"/>
      <c r="Y50" s="62">
        <v>0</v>
      </c>
      <c r="Z50" s="62">
        <v>0</v>
      </c>
      <c r="AA50" s="28"/>
    </row>
    <row r="51" spans="3:27" ht="12.75">
      <c r="C51" s="1"/>
      <c r="D51" s="1"/>
      <c r="E51" s="1"/>
      <c r="F51" s="1"/>
      <c r="G51" s="37"/>
      <c r="H51" s="52"/>
      <c r="J51" s="52"/>
      <c r="K51" s="37"/>
      <c r="L51" s="52"/>
      <c r="M51" s="1"/>
      <c r="N51" s="1"/>
      <c r="T51" s="37"/>
      <c r="V51" s="1"/>
      <c r="Y51" s="1"/>
      <c r="Z51" s="1"/>
      <c r="AA51" s="28"/>
    </row>
    <row r="52" spans="3:27" ht="12.75">
      <c r="C52" s="1"/>
      <c r="D52" s="1"/>
      <c r="E52" s="1"/>
      <c r="F52" s="1"/>
      <c r="G52" s="1"/>
      <c r="H52" s="1"/>
      <c r="I52" s="1"/>
      <c r="J52" s="52"/>
      <c r="K52" s="37"/>
      <c r="L52" s="1"/>
      <c r="M52" s="1"/>
      <c r="N52" s="1"/>
      <c r="T52" s="1"/>
      <c r="AA52" s="28"/>
    </row>
    <row r="53" spans="3:27" ht="12.75">
      <c r="C53" s="102" t="s">
        <v>121</v>
      </c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71"/>
      <c r="T53" s="71"/>
      <c r="AA53" s="28"/>
    </row>
    <row r="54" spans="3:27" ht="12.75"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71"/>
      <c r="T54" s="71"/>
      <c r="AA54" s="28"/>
    </row>
    <row r="55" ht="12.75">
      <c r="AA55" s="28"/>
    </row>
    <row r="56" spans="3:27" ht="12.75">
      <c r="C56" s="80"/>
      <c r="D56" s="80"/>
      <c r="E56" s="80"/>
      <c r="F56" s="80"/>
      <c r="G56" s="28"/>
      <c r="H56" s="28"/>
      <c r="AA56" s="28"/>
    </row>
    <row r="57" spans="3:27" ht="12.75">
      <c r="C57" s="80"/>
      <c r="D57" s="80"/>
      <c r="E57" s="80"/>
      <c r="F57" s="28"/>
      <c r="G57" s="36"/>
      <c r="H57" s="28"/>
      <c r="AA57" s="28"/>
    </row>
    <row r="58" spans="3:8" ht="12.75">
      <c r="C58" s="28"/>
      <c r="D58" s="81"/>
      <c r="E58" s="28"/>
      <c r="F58" s="28"/>
      <c r="G58" s="8"/>
      <c r="H58" s="28"/>
    </row>
    <row r="59" spans="3:8" ht="12.75">
      <c r="C59" s="28"/>
      <c r="D59" s="28"/>
      <c r="E59" s="28"/>
      <c r="F59" s="28"/>
      <c r="G59" s="28"/>
      <c r="H59" s="28"/>
    </row>
    <row r="60" spans="3:8" ht="12.75">
      <c r="C60" s="82"/>
      <c r="D60" s="81"/>
      <c r="E60" s="4"/>
      <c r="F60" s="8"/>
      <c r="G60" s="83"/>
      <c r="H60" s="4"/>
    </row>
    <row r="61" spans="3:8" ht="12.75">
      <c r="C61" s="28"/>
      <c r="D61" s="28"/>
      <c r="E61" s="28"/>
      <c r="F61" s="28"/>
      <c r="G61" s="28"/>
      <c r="H61" s="28"/>
    </row>
    <row r="62" spans="3:20" ht="12.75">
      <c r="C62" s="84"/>
      <c r="D62" s="85"/>
      <c r="E62" s="4"/>
      <c r="F62" s="8"/>
      <c r="G62" s="83"/>
      <c r="H62" s="4"/>
      <c r="I62" s="3"/>
      <c r="J62"/>
      <c r="K62" s="83"/>
      <c r="L62" s="83"/>
      <c r="M62" s="83"/>
      <c r="N62" s="83"/>
      <c r="O62" s="83"/>
      <c r="P62" s="83"/>
      <c r="Q62" s="83"/>
      <c r="R62" s="83"/>
      <c r="S62" s="83"/>
      <c r="T62" s="83"/>
    </row>
    <row r="63" spans="3:8" ht="12.75">
      <c r="C63" s="28"/>
      <c r="D63" s="28"/>
      <c r="E63" s="28"/>
      <c r="F63" s="28"/>
      <c r="G63" s="41"/>
      <c r="H63" s="28"/>
    </row>
    <row r="64" spans="3:8" ht="12.75">
      <c r="C64" s="28"/>
      <c r="D64" s="28"/>
      <c r="E64" s="28"/>
      <c r="F64" s="28"/>
      <c r="G64" s="28"/>
      <c r="H64" s="28"/>
    </row>
    <row r="65" spans="3:8" ht="12.75">
      <c r="C65" s="28"/>
      <c r="D65" s="28"/>
      <c r="E65" s="28"/>
      <c r="F65" s="28"/>
      <c r="G65" s="28"/>
      <c r="H65" s="28"/>
    </row>
    <row r="66" spans="3:8" ht="12.75">
      <c r="C66" s="28"/>
      <c r="D66" s="28"/>
      <c r="E66" s="28"/>
      <c r="F66" s="28"/>
      <c r="G66" s="28"/>
      <c r="H66" s="28"/>
    </row>
    <row r="67" spans="3:8" ht="12.75">
      <c r="C67" s="28"/>
      <c r="D67" s="28"/>
      <c r="E67" s="28"/>
      <c r="F67" s="28"/>
      <c r="G67" s="28"/>
      <c r="H67" s="28"/>
    </row>
    <row r="68" spans="3:8" ht="12.75">
      <c r="C68" s="28"/>
      <c r="D68" s="28"/>
      <c r="E68" s="28"/>
      <c r="F68" s="28"/>
      <c r="G68" s="28"/>
      <c r="H68" s="28"/>
    </row>
    <row r="69" spans="3:8" ht="12.75">
      <c r="C69" s="28"/>
      <c r="D69" s="28"/>
      <c r="E69" s="28"/>
      <c r="F69" s="28"/>
      <c r="G69" s="28"/>
      <c r="H69" s="28"/>
    </row>
    <row r="70" spans="3:8" ht="12.75">
      <c r="C70" s="28"/>
      <c r="D70" s="28"/>
      <c r="E70" s="28"/>
      <c r="F70" s="28"/>
      <c r="G70" s="28"/>
      <c r="H70" s="28"/>
    </row>
    <row r="71" spans="3:8" ht="12.75">
      <c r="C71" s="28"/>
      <c r="D71" s="28"/>
      <c r="E71" s="28"/>
      <c r="F71" s="28"/>
      <c r="G71" s="28"/>
      <c r="H71" s="28"/>
    </row>
    <row r="72" spans="3:8" ht="12.75">
      <c r="C72" s="28"/>
      <c r="D72" s="28"/>
      <c r="E72" s="28"/>
      <c r="F72" s="28"/>
      <c r="G72" s="28"/>
      <c r="H72" s="28"/>
    </row>
    <row r="73" spans="3:8" ht="12.75">
      <c r="C73" s="28"/>
      <c r="D73" s="28"/>
      <c r="E73" s="28"/>
      <c r="F73" s="28"/>
      <c r="G73" s="28"/>
      <c r="H73" s="28"/>
    </row>
    <row r="74" spans="3:8" ht="12.75">
      <c r="C74" s="28"/>
      <c r="D74" s="28"/>
      <c r="E74" s="28"/>
      <c r="F74" s="28"/>
      <c r="G74" s="28"/>
      <c r="H74" s="28"/>
    </row>
    <row r="75" spans="3:8" ht="12.75">
      <c r="C75" s="28"/>
      <c r="D75" s="28"/>
      <c r="E75" s="28"/>
      <c r="F75" s="28"/>
      <c r="G75" s="28"/>
      <c r="H75" s="28"/>
    </row>
    <row r="76" spans="3:8" ht="12.75">
      <c r="C76" s="28"/>
      <c r="D76" s="28"/>
      <c r="E76" s="28"/>
      <c r="F76" s="28"/>
      <c r="G76" s="28"/>
      <c r="H76" s="28"/>
    </row>
    <row r="77" spans="3:8" ht="12.75">
      <c r="C77" s="28"/>
      <c r="D77" s="28"/>
      <c r="E77" s="28"/>
      <c r="F77" s="28"/>
      <c r="G77" s="28"/>
      <c r="H77" s="28"/>
    </row>
  </sheetData>
  <mergeCells count="6">
    <mergeCell ref="C4:M6"/>
    <mergeCell ref="C53:M54"/>
    <mergeCell ref="G13:I13"/>
    <mergeCell ref="C7:M7"/>
    <mergeCell ref="C8:M8"/>
    <mergeCell ref="K13:M13"/>
  </mergeCells>
  <printOptions/>
  <pageMargins left="0.75" right="0.75" top="0.5" bottom="0" header="0.5" footer="0.5"/>
  <pageSetup horizontalDpi="300" verticalDpi="300" orientation="portrait" paperSize="9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workbookViewId="0" topLeftCell="A1">
      <selection activeCell="H2" sqref="H2"/>
    </sheetView>
  </sheetViews>
  <sheetFormatPr defaultColWidth="9.140625" defaultRowHeight="12.75"/>
  <cols>
    <col min="1" max="1" width="5.421875" style="0" customWidth="1"/>
    <col min="2" max="2" width="5.140625" style="0" customWidth="1"/>
    <col min="3" max="3" width="57.421875" style="0" customWidth="1"/>
    <col min="4" max="4" width="12.00390625" style="0" hidden="1" customWidth="1"/>
    <col min="5" max="5" width="2.7109375" style="4" customWidth="1"/>
    <col min="6" max="6" width="12.00390625" style="0" customWidth="1"/>
    <col min="7" max="7" width="2.57421875" style="4" customWidth="1"/>
    <col min="8" max="8" width="12.00390625" style="0" customWidth="1"/>
  </cols>
  <sheetData>
    <row r="1" spans="1:3" ht="12.75">
      <c r="A1" s="1"/>
      <c r="B1" s="1"/>
      <c r="C1" s="1"/>
    </row>
    <row r="2" spans="1:8" ht="12.75">
      <c r="A2" s="1"/>
      <c r="B2" s="1"/>
      <c r="C2" s="1"/>
      <c r="H2" s="48"/>
    </row>
    <row r="3" spans="1:8" ht="12.75">
      <c r="A3" s="1"/>
      <c r="B3" s="1"/>
      <c r="C3" s="1"/>
      <c r="H3" s="48"/>
    </row>
    <row r="4" spans="1:8" ht="12.75">
      <c r="A4" s="1"/>
      <c r="B4" s="1"/>
      <c r="C4" s="1"/>
      <c r="H4" s="48"/>
    </row>
    <row r="5" spans="2:3" ht="12.75">
      <c r="B5" s="1" t="s">
        <v>77</v>
      </c>
      <c r="C5" s="1"/>
    </row>
    <row r="6" spans="2:3" ht="12.75">
      <c r="B6" s="1" t="s">
        <v>126</v>
      </c>
      <c r="C6" s="1"/>
    </row>
    <row r="7" spans="2:3" ht="12.75">
      <c r="B7" s="1" t="s">
        <v>87</v>
      </c>
      <c r="C7" s="1"/>
    </row>
    <row r="8" spans="1:3" ht="12.75">
      <c r="A8" s="1"/>
      <c r="B8" s="1"/>
      <c r="C8" s="1"/>
    </row>
    <row r="9" spans="1:8" ht="12.75">
      <c r="A9" s="1"/>
      <c r="B9" s="1"/>
      <c r="C9" s="1"/>
      <c r="F9" s="30">
        <v>2005</v>
      </c>
      <c r="H9" s="30">
        <v>2004</v>
      </c>
    </row>
    <row r="10" spans="4:8" s="1" customFormat="1" ht="12.75">
      <c r="D10" s="30" t="s">
        <v>24</v>
      </c>
      <c r="E10" s="31"/>
      <c r="F10" s="32">
        <v>38442</v>
      </c>
      <c r="G10" s="31"/>
      <c r="H10" s="32">
        <v>37711</v>
      </c>
    </row>
    <row r="11" spans="4:8" s="1" customFormat="1" ht="12.75">
      <c r="D11" s="33" t="s">
        <v>25</v>
      </c>
      <c r="E11" s="31"/>
      <c r="F11" s="33" t="s">
        <v>9</v>
      </c>
      <c r="G11" s="31"/>
      <c r="H11" s="33" t="s">
        <v>9</v>
      </c>
    </row>
    <row r="13" spans="4:8" ht="12.75">
      <c r="D13" s="3"/>
      <c r="E13" s="8"/>
      <c r="F13" s="3"/>
      <c r="G13" s="8"/>
      <c r="H13" s="3"/>
    </row>
    <row r="14" spans="2:8" ht="12.75">
      <c r="B14" s="1" t="s">
        <v>26</v>
      </c>
      <c r="D14" s="3"/>
      <c r="E14" s="8"/>
      <c r="F14" s="3">
        <f>+'[1]Fund Flow'!$G$9-0.3</f>
        <v>491.14945799999055</v>
      </c>
      <c r="G14" s="8"/>
      <c r="H14" s="3">
        <v>-3248</v>
      </c>
    </row>
    <row r="15" spans="4:8" ht="12.75">
      <c r="D15" s="3"/>
      <c r="E15" s="8"/>
      <c r="F15" s="3"/>
      <c r="G15" s="8"/>
      <c r="H15" s="3"/>
    </row>
    <row r="16" spans="2:8" ht="12.75">
      <c r="B16" s="1" t="s">
        <v>27</v>
      </c>
      <c r="D16" s="3"/>
      <c r="E16" s="8"/>
      <c r="F16" s="3"/>
      <c r="G16" s="8"/>
      <c r="H16" s="3"/>
    </row>
    <row r="17" spans="2:8" ht="12.75">
      <c r="B17" t="s">
        <v>28</v>
      </c>
      <c r="D17" s="3"/>
      <c r="E17" s="8"/>
      <c r="F17" s="3">
        <f>+'[1]Fund Flow'!$G$12+0.4</f>
        <v>1034.0680000000002</v>
      </c>
      <c r="G17" s="8"/>
      <c r="H17" s="3">
        <v>1298</v>
      </c>
    </row>
    <row r="18" spans="2:8" ht="12.75">
      <c r="B18" t="s">
        <v>29</v>
      </c>
      <c r="D18" s="3"/>
      <c r="E18" s="8"/>
      <c r="F18" s="3">
        <f>+'[1]Fund Flow'!$G$13</f>
        <v>-95.12100000000015</v>
      </c>
      <c r="G18" s="8"/>
      <c r="H18" s="3">
        <v>0</v>
      </c>
    </row>
    <row r="19" spans="2:8" ht="12.75">
      <c r="B19" t="s">
        <v>30</v>
      </c>
      <c r="D19" s="3"/>
      <c r="E19" s="8"/>
      <c r="F19" s="3">
        <f>+'[1]Fund Flow'!$G$14</f>
        <v>6.8706999999999425</v>
      </c>
      <c r="G19" s="8"/>
      <c r="H19" s="8">
        <v>9.7</v>
      </c>
    </row>
    <row r="20" spans="4:7" ht="12.75">
      <c r="D20" s="9"/>
      <c r="E20" s="8"/>
      <c r="F20" s="9"/>
      <c r="G20" s="8"/>
    </row>
    <row r="21" spans="2:8" ht="12.75">
      <c r="B21" s="1" t="s">
        <v>31</v>
      </c>
      <c r="D21" s="34"/>
      <c r="E21" s="8"/>
      <c r="F21" s="35">
        <f>SUM(F14:F20)</f>
        <v>1436.9671579999906</v>
      </c>
      <c r="G21" s="36"/>
      <c r="H21" s="35">
        <f>SUM(H14:H19)</f>
        <v>-1940.3</v>
      </c>
    </row>
    <row r="22" spans="4:8" ht="12.75">
      <c r="D22" s="3"/>
      <c r="E22" s="8"/>
      <c r="F22" s="3"/>
      <c r="G22" s="8"/>
      <c r="H22" s="3"/>
    </row>
    <row r="23" spans="2:8" ht="12.75">
      <c r="B23" s="1" t="s">
        <v>32</v>
      </c>
      <c r="D23" s="3"/>
      <c r="E23" s="8"/>
      <c r="F23" s="3"/>
      <c r="G23" s="8"/>
      <c r="H23" s="3"/>
    </row>
    <row r="24" spans="3:8" ht="12.75">
      <c r="C24" t="s">
        <v>33</v>
      </c>
      <c r="D24" s="3"/>
      <c r="E24" s="8"/>
      <c r="F24" s="3">
        <f>+'[1]Fund Flow'!$G$19</f>
        <v>-8041.2065840000005</v>
      </c>
      <c r="G24" s="8"/>
      <c r="H24" s="3">
        <v>932</v>
      </c>
    </row>
    <row r="25" spans="3:8" ht="12.75">
      <c r="C25" t="s">
        <v>34</v>
      </c>
      <c r="D25" s="3"/>
      <c r="E25" s="8"/>
      <c r="F25" s="9">
        <f>+'[1]Fund Flow'!$G$20</f>
        <v>2781.2310960000023</v>
      </c>
      <c r="G25" s="8"/>
      <c r="H25" s="9">
        <v>295</v>
      </c>
    </row>
    <row r="26" spans="4:8" ht="12.75">
      <c r="D26" s="3"/>
      <c r="E26" s="8"/>
      <c r="F26" s="3">
        <f>SUM(F21:F25)</f>
        <v>-3823.008330000008</v>
      </c>
      <c r="G26" s="3"/>
      <c r="H26" s="3">
        <f>SUM(H21:H25)</f>
        <v>-713.3</v>
      </c>
    </row>
    <row r="27" spans="3:8" ht="12.75">
      <c r="C27" t="s">
        <v>72</v>
      </c>
      <c r="D27" s="3"/>
      <c r="E27" s="8"/>
      <c r="F27" s="3">
        <v>0</v>
      </c>
      <c r="G27" s="8"/>
      <c r="H27" s="3"/>
    </row>
    <row r="28" spans="4:8" ht="12.75">
      <c r="D28" s="3"/>
      <c r="E28" s="8"/>
      <c r="F28" s="3"/>
      <c r="G28" s="8"/>
      <c r="H28" s="3"/>
    </row>
    <row r="29" spans="2:8" ht="12.75">
      <c r="B29" s="1" t="s">
        <v>35</v>
      </c>
      <c r="C29" s="1"/>
      <c r="D29" s="34"/>
      <c r="E29" s="8"/>
      <c r="F29" s="35">
        <f>+F26+F27</f>
        <v>-3823.008330000008</v>
      </c>
      <c r="G29" s="36"/>
      <c r="H29" s="35">
        <f>+H26+H27</f>
        <v>-713.3</v>
      </c>
    </row>
    <row r="30" spans="4:8" ht="12.75">
      <c r="D30" s="3"/>
      <c r="E30" s="8"/>
      <c r="F30" s="3"/>
      <c r="G30" s="8"/>
      <c r="H30" s="3"/>
    </row>
    <row r="31" spans="4:8" ht="12.75">
      <c r="D31" s="3"/>
      <c r="E31" s="8"/>
      <c r="F31" s="3"/>
      <c r="G31" s="8"/>
      <c r="H31" s="3"/>
    </row>
    <row r="32" spans="2:8" ht="12.75">
      <c r="B32" s="1" t="s">
        <v>36</v>
      </c>
      <c r="D32" s="3"/>
      <c r="E32" s="8"/>
      <c r="F32" s="3"/>
      <c r="G32" s="8"/>
      <c r="H32" s="3"/>
    </row>
    <row r="33" spans="3:8" ht="12.75">
      <c r="C33" t="s">
        <v>37</v>
      </c>
      <c r="D33" s="3"/>
      <c r="E33" s="8"/>
      <c r="F33" s="3">
        <f>+'[1]Fund Flow'!$G$28</f>
        <v>-841.096770000014</v>
      </c>
      <c r="G33" s="8"/>
      <c r="H33" s="8">
        <v>-338</v>
      </c>
    </row>
    <row r="34" spans="3:8" ht="12.75">
      <c r="C34" t="s">
        <v>38</v>
      </c>
      <c r="D34" s="3"/>
      <c r="E34" s="8"/>
      <c r="F34" s="3">
        <f>+'[1]Fund Flow'!$G$29</f>
        <v>75</v>
      </c>
      <c r="G34" s="8"/>
      <c r="H34" s="3">
        <v>0</v>
      </c>
    </row>
    <row r="35" spans="3:8" ht="12.75">
      <c r="C35" t="s">
        <v>39</v>
      </c>
      <c r="D35" s="3"/>
      <c r="E35" s="8"/>
      <c r="F35" s="3">
        <v>0</v>
      </c>
      <c r="G35" s="8"/>
      <c r="H35" s="3">
        <v>-12</v>
      </c>
    </row>
    <row r="36" spans="4:8" ht="12.75">
      <c r="D36" s="9"/>
      <c r="E36" s="8"/>
      <c r="F36" s="9"/>
      <c r="G36" s="8"/>
      <c r="H36" s="9"/>
    </row>
    <row r="37" spans="4:8" ht="12.75">
      <c r="D37" s="34"/>
      <c r="E37" s="8"/>
      <c r="F37" s="34">
        <f>SUM(F33:F36)</f>
        <v>-766.096770000014</v>
      </c>
      <c r="G37" s="8"/>
      <c r="H37" s="34">
        <f>SUM(H33:H36)</f>
        <v>-350</v>
      </c>
    </row>
    <row r="38" spans="4:8" ht="12.75">
      <c r="D38" s="3"/>
      <c r="E38" s="8"/>
      <c r="F38" s="3"/>
      <c r="G38" s="8"/>
      <c r="H38" s="3"/>
    </row>
    <row r="39" spans="2:8" s="1" customFormat="1" ht="12.75">
      <c r="B39" s="1" t="s">
        <v>40</v>
      </c>
      <c r="D39" s="37"/>
      <c r="E39" s="38"/>
      <c r="F39" s="37"/>
      <c r="G39" s="38"/>
      <c r="H39" s="37"/>
    </row>
    <row r="40" spans="3:8" ht="12.75" hidden="1">
      <c r="C40" t="s">
        <v>41</v>
      </c>
      <c r="D40" s="3"/>
      <c r="E40" s="8"/>
      <c r="F40" s="3">
        <v>0</v>
      </c>
      <c r="G40" s="8"/>
      <c r="H40" s="3">
        <v>0</v>
      </c>
    </row>
    <row r="41" spans="3:8" ht="12.75" hidden="1">
      <c r="C41" t="s">
        <v>0</v>
      </c>
      <c r="D41" s="3"/>
      <c r="E41" s="8"/>
      <c r="F41" s="3">
        <v>0</v>
      </c>
      <c r="G41" s="8"/>
      <c r="H41" s="3">
        <v>0</v>
      </c>
    </row>
    <row r="42" spans="3:8" ht="12.75">
      <c r="C42" t="s">
        <v>42</v>
      </c>
      <c r="D42" s="3"/>
      <c r="E42" s="8"/>
      <c r="F42" s="3">
        <v>4016</v>
      </c>
      <c r="G42" s="8"/>
      <c r="H42" s="3">
        <v>1188</v>
      </c>
    </row>
    <row r="43" spans="3:8" ht="12.75">
      <c r="C43" t="s">
        <v>13</v>
      </c>
      <c r="D43" s="3"/>
      <c r="E43" s="8"/>
      <c r="F43" s="3">
        <f>18</f>
        <v>18</v>
      </c>
      <c r="G43" s="8"/>
      <c r="H43" s="3">
        <v>-67</v>
      </c>
    </row>
    <row r="44" spans="4:8" ht="12.75">
      <c r="D44" s="34"/>
      <c r="E44" s="8"/>
      <c r="F44" s="34">
        <f>SUM(F40:F43)+0.4</f>
        <v>4034.4</v>
      </c>
      <c r="G44" s="8"/>
      <c r="H44" s="34">
        <f>SUM(H40:H43)</f>
        <v>1121</v>
      </c>
    </row>
    <row r="45" spans="4:8" ht="12.75">
      <c r="D45" s="3"/>
      <c r="E45" s="8"/>
      <c r="F45" s="3"/>
      <c r="G45" s="8"/>
      <c r="H45" s="3"/>
    </row>
    <row r="46" spans="2:8" ht="12.75">
      <c r="B46" s="1" t="s">
        <v>43</v>
      </c>
      <c r="D46" s="8"/>
      <c r="E46" s="8"/>
      <c r="F46" s="8">
        <f>F44+F37+F29</f>
        <v>-554.705100000022</v>
      </c>
      <c r="G46" s="8"/>
      <c r="H46" s="8">
        <f>H44+H37+H29</f>
        <v>57.700000000000045</v>
      </c>
    </row>
    <row r="47" spans="4:8" ht="12.75">
      <c r="D47" s="3"/>
      <c r="E47" s="8"/>
      <c r="F47" s="3"/>
      <c r="G47" s="8"/>
      <c r="H47" s="3"/>
    </row>
    <row r="48" spans="2:8" ht="12.75">
      <c r="B48" s="1" t="s">
        <v>44</v>
      </c>
      <c r="D48" s="3"/>
      <c r="E48" s="8"/>
      <c r="F48" s="3">
        <v>755</v>
      </c>
      <c r="G48" s="8"/>
      <c r="H48" s="3">
        <v>168</v>
      </c>
    </row>
    <row r="49" spans="4:8" ht="12.75">
      <c r="D49" s="3"/>
      <c r="E49" s="8"/>
      <c r="F49" s="3"/>
      <c r="G49" s="8"/>
      <c r="H49" s="3"/>
    </row>
    <row r="50" spans="2:8" ht="13.5" thickBot="1">
      <c r="B50" s="1" t="s">
        <v>73</v>
      </c>
      <c r="D50" s="25"/>
      <c r="E50" s="8"/>
      <c r="F50" s="25">
        <f>F46+F48</f>
        <v>200.29489999997804</v>
      </c>
      <c r="G50" s="8"/>
      <c r="H50" s="25">
        <f>H46+H48</f>
        <v>225.70000000000005</v>
      </c>
    </row>
    <row r="51" spans="4:8" ht="13.5" thickTop="1">
      <c r="D51" s="3"/>
      <c r="E51" s="8"/>
      <c r="F51" s="3"/>
      <c r="G51" s="8"/>
      <c r="H51" s="8"/>
    </row>
    <row r="52" spans="4:12" ht="12.75">
      <c r="D52" s="3"/>
      <c r="E52" s="8"/>
      <c r="F52" s="3"/>
      <c r="G52" s="8"/>
      <c r="H52" s="8"/>
      <c r="L52" s="3"/>
    </row>
    <row r="55" spans="2:9" ht="12.75" customHeight="1">
      <c r="B55" s="109" t="s">
        <v>116</v>
      </c>
      <c r="C55" s="109"/>
      <c r="D55" s="109"/>
      <c r="E55" s="109"/>
      <c r="F55" s="109"/>
      <c r="G55" s="109"/>
      <c r="H55" s="109"/>
      <c r="I55" s="98"/>
    </row>
    <row r="56" spans="2:11" ht="12.75">
      <c r="B56" s="109"/>
      <c r="C56" s="109"/>
      <c r="D56" s="109"/>
      <c r="E56" s="109"/>
      <c r="F56" s="109"/>
      <c r="G56" s="109"/>
      <c r="H56" s="109"/>
      <c r="I56" s="98"/>
      <c r="J56" s="29"/>
      <c r="K56" s="29"/>
    </row>
    <row r="57" spans="4:8" ht="12.75" customHeight="1">
      <c r="D57" s="3"/>
      <c r="E57" s="8"/>
      <c r="F57" s="3"/>
      <c r="G57" s="8"/>
      <c r="H57" s="3"/>
    </row>
    <row r="58" spans="6:7" ht="12.75">
      <c r="F58" s="39" t="s">
        <v>3</v>
      </c>
      <c r="G58" s="40"/>
    </row>
  </sheetData>
  <mergeCells count="1">
    <mergeCell ref="B55:H56"/>
  </mergeCells>
  <printOptions/>
  <pageMargins left="1" right="0.25" top="1" bottom="1" header="0.5" footer="0.5"/>
  <pageSetup orientation="portrait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53"/>
  <sheetViews>
    <sheetView workbookViewId="0" topLeftCell="E1">
      <selection activeCell="I1" sqref="I1"/>
    </sheetView>
  </sheetViews>
  <sheetFormatPr defaultColWidth="9.140625" defaultRowHeight="12.75"/>
  <cols>
    <col min="1" max="1" width="4.28125" style="0" customWidth="1"/>
    <col min="3" max="3" width="25.57421875" style="0" customWidth="1"/>
    <col min="4" max="4" width="14.140625" style="3" bestFit="1" customWidth="1"/>
    <col min="5" max="5" width="10.7109375" style="3" customWidth="1"/>
    <col min="6" max="6" width="9.8515625" style="3" customWidth="1"/>
    <col min="7" max="7" width="12.00390625" style="86" customWidth="1"/>
    <col min="8" max="8" width="12.57421875" style="3" customWidth="1"/>
    <col min="9" max="9" width="13.28125" style="3" customWidth="1"/>
  </cols>
  <sheetData>
    <row r="1" ht="12.75">
      <c r="I1" s="63"/>
    </row>
    <row r="2" ht="15.75">
      <c r="B2" s="87" t="s">
        <v>77</v>
      </c>
    </row>
    <row r="4" ht="15.75">
      <c r="B4" s="87" t="s">
        <v>127</v>
      </c>
    </row>
    <row r="5" ht="15.75">
      <c r="B5" s="87" t="s">
        <v>87</v>
      </c>
    </row>
    <row r="6" ht="12.75">
      <c r="N6" s="3"/>
    </row>
    <row r="7" ht="12.75">
      <c r="N7" s="3">
        <v>38077</v>
      </c>
    </row>
    <row r="8" spans="4:14" ht="12.75">
      <c r="D8" s="96" t="s">
        <v>133</v>
      </c>
      <c r="E8" s="95" t="s">
        <v>88</v>
      </c>
      <c r="F8" s="95" t="s">
        <v>89</v>
      </c>
      <c r="G8" s="95" t="s">
        <v>90</v>
      </c>
      <c r="H8" s="95" t="s">
        <v>91</v>
      </c>
      <c r="N8" s="88" t="s">
        <v>89</v>
      </c>
    </row>
    <row r="9" spans="4:9" ht="12.75">
      <c r="D9" s="95" t="s">
        <v>93</v>
      </c>
      <c r="E9" s="95" t="s">
        <v>94</v>
      </c>
      <c r="F9" s="88" t="s">
        <v>94</v>
      </c>
      <c r="G9" s="95" t="s">
        <v>95</v>
      </c>
      <c r="H9" s="95" t="s">
        <v>96</v>
      </c>
      <c r="I9" s="95" t="s">
        <v>92</v>
      </c>
    </row>
    <row r="10" spans="4:9" ht="12.75">
      <c r="D10" s="96" t="s">
        <v>9</v>
      </c>
      <c r="E10" s="96" t="s">
        <v>9</v>
      </c>
      <c r="F10" s="96" t="s">
        <v>9</v>
      </c>
      <c r="G10" s="96" t="s">
        <v>9</v>
      </c>
      <c r="H10" s="96" t="s">
        <v>9</v>
      </c>
      <c r="I10" s="96" t="s">
        <v>9</v>
      </c>
    </row>
    <row r="11" ht="12.75">
      <c r="N11" s="3"/>
    </row>
    <row r="12" spans="2:14" ht="12.75">
      <c r="B12" t="s">
        <v>101</v>
      </c>
      <c r="D12" s="3">
        <v>82330.811</v>
      </c>
      <c r="E12" s="3">
        <f>+E33</f>
        <v>671.1700000000001</v>
      </c>
      <c r="F12" s="3">
        <f>+F33</f>
        <v>129.74700000000007</v>
      </c>
      <c r="G12" s="3">
        <f>+G33</f>
        <v>6977.9</v>
      </c>
      <c r="H12" s="3">
        <f>+H33</f>
        <v>-72953.4</v>
      </c>
      <c r="I12" s="3">
        <f>+I33</f>
        <v>17156.228</v>
      </c>
      <c r="N12" s="3">
        <f>+N34</f>
        <v>-743.4</v>
      </c>
    </row>
    <row r="13" spans="2:14" ht="12.75" hidden="1">
      <c r="B13" t="s">
        <v>97</v>
      </c>
      <c r="N13" s="3"/>
    </row>
    <row r="14" spans="2:14" ht="12.75" hidden="1">
      <c r="B14" t="s">
        <v>98</v>
      </c>
      <c r="D14" s="3">
        <v>0</v>
      </c>
      <c r="E14" s="3">
        <v>0</v>
      </c>
      <c r="F14" s="3">
        <v>0</v>
      </c>
      <c r="G14" s="86">
        <v>0</v>
      </c>
      <c r="H14" s="3">
        <v>0</v>
      </c>
      <c r="I14" s="3">
        <f>SUM(D14:H14)</f>
        <v>0</v>
      </c>
      <c r="N14" s="3">
        <v>-12</v>
      </c>
    </row>
    <row r="15" spans="2:14" ht="12.75">
      <c r="B15" t="s">
        <v>135</v>
      </c>
      <c r="D15" s="3">
        <v>0</v>
      </c>
      <c r="E15" s="3">
        <v>0</v>
      </c>
      <c r="F15" s="3">
        <v>0</v>
      </c>
      <c r="G15" s="86">
        <v>0</v>
      </c>
      <c r="H15" s="3">
        <v>491</v>
      </c>
      <c r="I15" s="3">
        <f>SUM(D15:H15)</f>
        <v>491</v>
      </c>
      <c r="N15" s="3">
        <v>0</v>
      </c>
    </row>
    <row r="16" spans="4:14" ht="12.75">
      <c r="D16" s="9"/>
      <c r="E16" s="9"/>
      <c r="F16" s="9"/>
      <c r="G16" s="89"/>
      <c r="H16" s="9"/>
      <c r="I16" s="9"/>
      <c r="N16" s="9"/>
    </row>
    <row r="17" spans="2:14" ht="13.5" thickBot="1">
      <c r="B17" t="s">
        <v>115</v>
      </c>
      <c r="D17" s="25">
        <f aca="true" t="shared" si="0" ref="D17:I17">SUM(D12:D15)</f>
        <v>82330.811</v>
      </c>
      <c r="E17" s="25">
        <f t="shared" si="0"/>
        <v>671.1700000000001</v>
      </c>
      <c r="F17" s="25">
        <f t="shared" si="0"/>
        <v>129.74700000000007</v>
      </c>
      <c r="G17" s="25">
        <f t="shared" si="0"/>
        <v>6977.9</v>
      </c>
      <c r="H17" s="25">
        <f t="shared" si="0"/>
        <v>-72462.4</v>
      </c>
      <c r="I17" s="25">
        <f t="shared" si="0"/>
        <v>17647.228</v>
      </c>
      <c r="N17" s="25">
        <f>SUM(N12:N15)</f>
        <v>-755.4</v>
      </c>
    </row>
    <row r="18" ht="13.5" thickTop="1">
      <c r="N18" s="3"/>
    </row>
    <row r="19" ht="12.75">
      <c r="N19" s="3"/>
    </row>
    <row r="20" ht="12.75">
      <c r="N20" s="3"/>
    </row>
    <row r="21" spans="2:14" ht="12.75">
      <c r="B21" t="s">
        <v>111</v>
      </c>
      <c r="D21" s="3">
        <v>82330.811</v>
      </c>
      <c r="E21" s="3">
        <v>1726</v>
      </c>
      <c r="F21" s="3">
        <v>-743.4</v>
      </c>
      <c r="G21" s="3">
        <f>6977.9</f>
        <v>6977.9</v>
      </c>
      <c r="H21" s="3">
        <v>-72315</v>
      </c>
      <c r="I21" s="3">
        <f>SUM(D21:H21)</f>
        <v>17976.311</v>
      </c>
      <c r="N21" s="3">
        <v>-351</v>
      </c>
    </row>
    <row r="22" spans="2:14" ht="12.75">
      <c r="B22" t="s">
        <v>99</v>
      </c>
      <c r="G22" s="3"/>
      <c r="N22" s="3"/>
    </row>
    <row r="23" spans="2:14" ht="12.75">
      <c r="B23" t="s">
        <v>100</v>
      </c>
      <c r="D23" s="9"/>
      <c r="E23" s="9">
        <v>-1024.83</v>
      </c>
      <c r="F23" s="9"/>
      <c r="G23" s="9"/>
      <c r="H23" s="9"/>
      <c r="I23" s="9">
        <f>+E23</f>
        <v>-1024.83</v>
      </c>
      <c r="N23" s="3"/>
    </row>
    <row r="24" spans="2:14" ht="12.75">
      <c r="B24" t="s">
        <v>134</v>
      </c>
      <c r="D24" s="3">
        <f aca="true" t="shared" si="1" ref="D24:I24">+D21+D23</f>
        <v>82330.811</v>
      </c>
      <c r="E24" s="3">
        <f t="shared" si="1"/>
        <v>701.1700000000001</v>
      </c>
      <c r="F24" s="3">
        <f t="shared" si="1"/>
        <v>-743.4</v>
      </c>
      <c r="G24" s="3">
        <f t="shared" si="1"/>
        <v>6977.9</v>
      </c>
      <c r="H24" s="3">
        <f t="shared" si="1"/>
        <v>-72315</v>
      </c>
      <c r="I24" s="3">
        <f t="shared" si="1"/>
        <v>16951.481</v>
      </c>
      <c r="N24" s="3"/>
    </row>
    <row r="25" spans="7:14" ht="12.75">
      <c r="G25" s="3"/>
      <c r="N25" s="3"/>
    </row>
    <row r="26" spans="2:14" ht="12.75">
      <c r="B26" t="s">
        <v>120</v>
      </c>
      <c r="F26" s="3">
        <v>4.447</v>
      </c>
      <c r="I26" s="3">
        <f>SUM(D26:H26)</f>
        <v>4.447</v>
      </c>
      <c r="N26" s="3"/>
    </row>
    <row r="27" spans="2:14" ht="12.75">
      <c r="B27" t="s">
        <v>117</v>
      </c>
      <c r="N27" s="3"/>
    </row>
    <row r="28" spans="2:14" ht="12.75">
      <c r="B28" t="s">
        <v>118</v>
      </c>
      <c r="N28" s="3">
        <v>0</v>
      </c>
    </row>
    <row r="29" spans="2:14" ht="12.75">
      <c r="B29" t="s">
        <v>119</v>
      </c>
      <c r="D29" s="3">
        <v>0</v>
      </c>
      <c r="E29" s="3">
        <v>0</v>
      </c>
      <c r="F29" s="3">
        <v>868.7</v>
      </c>
      <c r="G29" s="86">
        <v>0</v>
      </c>
      <c r="H29" s="3">
        <v>0</v>
      </c>
      <c r="I29" s="3">
        <f>SUM(D29:H29)</f>
        <v>868.7</v>
      </c>
      <c r="N29" s="3"/>
    </row>
    <row r="30" spans="2:14" ht="12.75">
      <c r="B30" t="s">
        <v>130</v>
      </c>
      <c r="E30" s="3">
        <v>-30</v>
      </c>
      <c r="H30" s="3">
        <v>30</v>
      </c>
      <c r="N30" s="3"/>
    </row>
    <row r="31" spans="2:14" ht="12.75">
      <c r="B31" t="s">
        <v>131</v>
      </c>
      <c r="D31" s="3">
        <v>0</v>
      </c>
      <c r="E31" s="3">
        <v>0</v>
      </c>
      <c r="F31" s="3">
        <v>0</v>
      </c>
      <c r="G31" s="86">
        <v>0</v>
      </c>
      <c r="H31" s="3">
        <v>-668.4</v>
      </c>
      <c r="I31" s="3">
        <f>SUM(D31:H31)</f>
        <v>-668.4</v>
      </c>
      <c r="N31" s="3">
        <v>-392.4</v>
      </c>
    </row>
    <row r="32" spans="4:14" ht="12.75">
      <c r="D32" s="9"/>
      <c r="E32" s="9"/>
      <c r="F32" s="9"/>
      <c r="G32" s="89"/>
      <c r="H32" s="9"/>
      <c r="I32" s="9"/>
      <c r="N32" s="3">
        <v>0</v>
      </c>
    </row>
    <row r="33" spans="2:14" ht="13.5" thickBot="1">
      <c r="B33" t="s">
        <v>132</v>
      </c>
      <c r="D33" s="25">
        <f aca="true" t="shared" si="2" ref="D33:I33">SUM(D24:D32)</f>
        <v>82330.811</v>
      </c>
      <c r="E33" s="25">
        <f t="shared" si="2"/>
        <v>671.1700000000001</v>
      </c>
      <c r="F33" s="25">
        <f t="shared" si="2"/>
        <v>129.74700000000007</v>
      </c>
      <c r="G33" s="25">
        <f t="shared" si="2"/>
        <v>6977.9</v>
      </c>
      <c r="H33" s="25">
        <f t="shared" si="2"/>
        <v>-72953.4</v>
      </c>
      <c r="I33" s="25">
        <f t="shared" si="2"/>
        <v>17156.228</v>
      </c>
      <c r="N33" s="9"/>
    </row>
    <row r="34" ht="14.25" thickBot="1" thickTop="1">
      <c r="N34" s="25">
        <f>SUM(N21:N32)</f>
        <v>-743.4</v>
      </c>
    </row>
    <row r="35" ht="13.5" thickTop="1">
      <c r="N35" s="3"/>
    </row>
    <row r="36" ht="12.75">
      <c r="N36" s="3"/>
    </row>
    <row r="37" spans="2:14" ht="12.75">
      <c r="B37" s="102" t="s">
        <v>128</v>
      </c>
      <c r="C37" s="102"/>
      <c r="D37" s="102"/>
      <c r="E37" s="102"/>
      <c r="F37" s="102"/>
      <c r="G37" s="102"/>
      <c r="H37" s="102"/>
      <c r="I37" s="102"/>
      <c r="N37" s="70"/>
    </row>
    <row r="38" spans="2:14" ht="12.75">
      <c r="B38" s="102"/>
      <c r="C38" s="102"/>
      <c r="D38" s="102"/>
      <c r="E38" s="102"/>
      <c r="F38" s="102"/>
      <c r="G38" s="102"/>
      <c r="H38" s="102"/>
      <c r="I38" s="102"/>
      <c r="N38" s="70"/>
    </row>
    <row r="39" ht="12.75">
      <c r="N39" s="3"/>
    </row>
    <row r="40" ht="12.75">
      <c r="N40" s="3"/>
    </row>
    <row r="41" ht="12.75" hidden="1">
      <c r="N41" s="3"/>
    </row>
    <row r="42" ht="12.75" hidden="1">
      <c r="N42" s="3"/>
    </row>
    <row r="43" ht="12.75">
      <c r="N43" s="3"/>
    </row>
    <row r="44" ht="12.75">
      <c r="N44" s="3"/>
    </row>
    <row r="45" ht="12.75">
      <c r="N45" s="3"/>
    </row>
    <row r="46" ht="12.75">
      <c r="N46" s="3"/>
    </row>
    <row r="47" ht="12.75">
      <c r="N47" s="3"/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2" ht="12.75">
      <c r="N52" s="3"/>
    </row>
    <row r="53" ht="12.75">
      <c r="N53" s="3"/>
    </row>
  </sheetData>
  <mergeCells count="1">
    <mergeCell ref="B37:I38"/>
  </mergeCells>
  <printOptions/>
  <pageMargins left="0.75" right="0.25" top="1" bottom="1" header="0.5" footer="0.5"/>
  <pageSetup orientation="portrait" scale="85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I27"/>
  <sheetViews>
    <sheetView tabSelected="1" workbookViewId="0" topLeftCell="A1">
      <selection activeCell="I2" sqref="I2"/>
    </sheetView>
  </sheetViews>
  <sheetFormatPr defaultColWidth="9.140625" defaultRowHeight="12.75"/>
  <cols>
    <col min="7" max="7" width="12.421875" style="0" customWidth="1"/>
    <col min="8" max="8" width="2.8515625" style="0" customWidth="1"/>
    <col min="9" max="9" width="12.7109375" style="0" customWidth="1"/>
  </cols>
  <sheetData>
    <row r="2" ht="12.75">
      <c r="I2" s="48"/>
    </row>
    <row r="3" ht="12.75">
      <c r="B3" s="1" t="s">
        <v>77</v>
      </c>
    </row>
    <row r="5" ht="12.75">
      <c r="B5" s="1" t="s">
        <v>129</v>
      </c>
    </row>
    <row r="6" ht="12.75">
      <c r="B6" s="1" t="s">
        <v>102</v>
      </c>
    </row>
    <row r="7" ht="12.75">
      <c r="B7" s="1" t="s">
        <v>112</v>
      </c>
    </row>
    <row r="9" spans="7:9" ht="12.75">
      <c r="G9" s="90">
        <v>2005</v>
      </c>
      <c r="I9" s="90">
        <v>2004</v>
      </c>
    </row>
    <row r="10" spans="7:9" ht="12.75">
      <c r="G10" s="91">
        <v>38442</v>
      </c>
      <c r="H10" s="91"/>
      <c r="I10" s="91">
        <v>38077</v>
      </c>
    </row>
    <row r="11" spans="7:9" ht="12.75">
      <c r="G11" s="90" t="s">
        <v>103</v>
      </c>
      <c r="I11" s="90" t="s">
        <v>103</v>
      </c>
    </row>
    <row r="12" spans="7:9" ht="12.75">
      <c r="G12" s="90" t="s">
        <v>9</v>
      </c>
      <c r="I12" s="90" t="s">
        <v>9</v>
      </c>
    </row>
    <row r="14" spans="2:9" ht="12.75">
      <c r="B14" t="s">
        <v>104</v>
      </c>
      <c r="G14" s="92">
        <v>0</v>
      </c>
      <c r="H14" s="92"/>
      <c r="I14" s="92">
        <v>0</v>
      </c>
    </row>
    <row r="15" spans="7:9" ht="12.75">
      <c r="G15" s="92"/>
      <c r="H15" s="92"/>
      <c r="I15" s="92"/>
    </row>
    <row r="16" spans="2:9" ht="12.75">
      <c r="B16" t="s">
        <v>105</v>
      </c>
      <c r="G16" s="92">
        <v>0</v>
      </c>
      <c r="H16" s="92"/>
      <c r="I16" s="92">
        <v>0</v>
      </c>
    </row>
    <row r="17" spans="7:9" ht="12.75">
      <c r="G17" s="92"/>
      <c r="H17" s="92"/>
      <c r="I17" s="92"/>
    </row>
    <row r="18" spans="2:9" ht="12.75">
      <c r="B18" t="s">
        <v>106</v>
      </c>
      <c r="G18" s="92"/>
      <c r="H18" s="92"/>
      <c r="I18" s="92"/>
    </row>
    <row r="19" spans="2:9" ht="12.75">
      <c r="B19" t="s">
        <v>107</v>
      </c>
      <c r="G19" s="93">
        <v>0</v>
      </c>
      <c r="H19" s="92"/>
      <c r="I19" s="93">
        <v>-12</v>
      </c>
    </row>
    <row r="20" spans="7:9" ht="12.75">
      <c r="G20" s="92"/>
      <c r="H20" s="92"/>
      <c r="I20" s="92"/>
    </row>
    <row r="21" spans="2:9" ht="12.75">
      <c r="B21" t="s">
        <v>108</v>
      </c>
      <c r="G21" s="92"/>
      <c r="H21" s="92"/>
      <c r="I21" s="92"/>
    </row>
    <row r="22" spans="2:9" ht="12.75">
      <c r="B22" t="s">
        <v>109</v>
      </c>
      <c r="G22" s="92">
        <v>0</v>
      </c>
      <c r="H22" s="92"/>
      <c r="I22" s="92">
        <v>-12</v>
      </c>
    </row>
    <row r="23" spans="7:9" ht="12.75">
      <c r="G23" s="92"/>
      <c r="H23" s="92"/>
      <c r="I23" s="92"/>
    </row>
    <row r="24" spans="2:9" ht="12.75">
      <c r="B24" t="s">
        <v>113</v>
      </c>
      <c r="G24" s="93">
        <v>491</v>
      </c>
      <c r="H24" s="92"/>
      <c r="I24" s="93">
        <v>-3248</v>
      </c>
    </row>
    <row r="25" spans="7:9" ht="12.75">
      <c r="G25" s="92"/>
      <c r="H25" s="92"/>
      <c r="I25" s="92"/>
    </row>
    <row r="26" ht="12.75">
      <c r="B26" t="s">
        <v>110</v>
      </c>
    </row>
    <row r="27" spans="2:9" ht="12.75">
      <c r="B27" t="s">
        <v>114</v>
      </c>
      <c r="G27" s="94">
        <v>0</v>
      </c>
      <c r="H27" s="94"/>
      <c r="I27" s="94">
        <v>0</v>
      </c>
    </row>
  </sheetData>
  <printOptions/>
  <pageMargins left="0.75" right="0.75" top="1" bottom="1" header="0.5" footer="0.5"/>
  <pageSetup orientation="portrait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latexx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Lim</dc:creator>
  <cp:keywords/>
  <dc:description/>
  <cp:lastModifiedBy>Taping super</cp:lastModifiedBy>
  <cp:lastPrinted>2005-05-25T03:50:37Z</cp:lastPrinted>
  <dcterms:created xsi:type="dcterms:W3CDTF">2001-11-01T09:32:27Z</dcterms:created>
  <dcterms:modified xsi:type="dcterms:W3CDTF">2005-05-25T03:50:47Z</dcterms:modified>
  <cp:category/>
  <cp:version/>
  <cp:contentType/>
  <cp:contentStatus/>
</cp:coreProperties>
</file>